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/>
  <mc:AlternateContent xmlns:mc="http://schemas.openxmlformats.org/markup-compatibility/2006">
    <mc:Choice Requires="x15">
      <x15ac:absPath xmlns:x15ac="http://schemas.microsoft.com/office/spreadsheetml/2010/11/ac" url="https://d.docs.live.net/136a79196adb37b4/Skrivbord/LTH/Examensarbete/Poängbedömning/"/>
    </mc:Choice>
  </mc:AlternateContent>
  <xr:revisionPtr revIDLastSave="1716" documentId="11_AD4D7A0C205A6B9A452FA844A794D2E6693EDF1F" xr6:coauthVersionLast="47" xr6:coauthVersionMax="47" xr10:uidLastSave="{7772DBBA-B9F6-4BF0-8813-279220462C95}"/>
  <bookViews>
    <workbookView xWindow="-120" yWindow="-120" windowWidth="29040" windowHeight="15720" activeTab="4" xr2:uid="{00000000-000D-0000-FFFF-FFFF00000000}"/>
  </bookViews>
  <sheets>
    <sheet name="Sammanfattning" sheetId="1" r:id="rId1"/>
    <sheet name="Stadens utformning" sheetId="2" r:id="rId2"/>
    <sheet name="Kollektivtrafikens infrastruktu" sheetId="4" r:id="rId3"/>
    <sheet name="Fordon och Stödsystem" sheetId="3" r:id="rId4"/>
    <sheet name="Trafikering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7" i="4" l="1"/>
  <c r="F39" i="1"/>
  <c r="F32" i="1"/>
  <c r="F12" i="1"/>
  <c r="S39" i="4" l="1"/>
  <c r="S38" i="4"/>
  <c r="S36" i="4"/>
  <c r="K33" i="4" l="1"/>
  <c r="P7" i="4"/>
  <c r="P8" i="4"/>
  <c r="P9" i="4"/>
  <c r="P10" i="4"/>
  <c r="P11" i="4"/>
  <c r="P12" i="4"/>
  <c r="P13" i="4"/>
  <c r="P14" i="4"/>
  <c r="P15" i="4"/>
  <c r="P16" i="4"/>
  <c r="P17" i="4"/>
  <c r="P18" i="4"/>
  <c r="P19" i="4"/>
  <c r="P20" i="4"/>
  <c r="P21" i="4"/>
  <c r="P22" i="4"/>
  <c r="P23" i="4"/>
  <c r="P24" i="4"/>
  <c r="P25" i="4"/>
  <c r="P26" i="4"/>
  <c r="P6" i="4"/>
  <c r="P5" i="4"/>
  <c r="N15" i="4"/>
  <c r="N8" i="4"/>
  <c r="N6" i="4"/>
  <c r="N5" i="4"/>
  <c r="K36" i="4"/>
  <c r="K35" i="4"/>
  <c r="K34" i="4"/>
  <c r="K7" i="4"/>
  <c r="K8" i="4"/>
  <c r="K9" i="4"/>
  <c r="K10" i="4"/>
  <c r="K11" i="4"/>
  <c r="K12" i="4"/>
  <c r="K13" i="4"/>
  <c r="K14" i="4"/>
  <c r="K15" i="4"/>
  <c r="K16" i="4"/>
  <c r="K17" i="4"/>
  <c r="K18" i="4"/>
  <c r="K19" i="4"/>
  <c r="K20" i="4"/>
  <c r="K21" i="4"/>
  <c r="K22" i="4"/>
  <c r="K23" i="4"/>
  <c r="K6" i="4"/>
  <c r="K5" i="4"/>
  <c r="I9" i="4"/>
  <c r="I7" i="4"/>
  <c r="I6" i="4"/>
  <c r="I5" i="4"/>
  <c r="F68" i="1"/>
  <c r="F67" i="1"/>
  <c r="D67" i="1"/>
  <c r="E67" i="1" s="1"/>
  <c r="F66" i="1"/>
  <c r="E66" i="1"/>
  <c r="D66" i="1"/>
  <c r="F65" i="1"/>
  <c r="D65" i="1"/>
  <c r="E65" i="1" s="1"/>
  <c r="F64" i="1"/>
  <c r="E64" i="1"/>
  <c r="D64" i="1"/>
  <c r="F63" i="1"/>
  <c r="E63" i="1" s="1"/>
  <c r="D63" i="1"/>
  <c r="F62" i="1"/>
  <c r="D62" i="1"/>
  <c r="E62" i="1" s="1"/>
  <c r="F61" i="1"/>
  <c r="F60" i="1"/>
  <c r="F59" i="1"/>
  <c r="F58" i="1"/>
  <c r="F57" i="1"/>
  <c r="F56" i="1"/>
  <c r="F55" i="1"/>
  <c r="F54" i="1"/>
  <c r="F53" i="1"/>
  <c r="F52" i="1"/>
  <c r="F51" i="1"/>
  <c r="D51" i="1"/>
  <c r="E51" i="1" s="1"/>
  <c r="F50" i="1"/>
  <c r="E50" i="1"/>
  <c r="D50" i="1"/>
  <c r="F49" i="1"/>
  <c r="D49" i="1"/>
  <c r="E49" i="1" s="1"/>
  <c r="F48" i="1"/>
  <c r="E48" i="1"/>
  <c r="D48" i="1"/>
  <c r="F47" i="1"/>
  <c r="E47" i="1" s="1"/>
  <c r="D47" i="1"/>
  <c r="F46" i="1"/>
  <c r="D46" i="1"/>
  <c r="E46" i="1" s="1"/>
  <c r="F45" i="1"/>
  <c r="E45" i="1" s="1"/>
  <c r="D45" i="1"/>
  <c r="F44" i="1"/>
  <c r="D44" i="1"/>
  <c r="E44" i="1" s="1"/>
  <c r="E42" i="4"/>
  <c r="F79" i="4"/>
  <c r="D21" i="1" s="1"/>
  <c r="D55" i="1" s="1"/>
  <c r="F78" i="4"/>
  <c r="F77" i="4"/>
  <c r="F6" i="2"/>
  <c r="D5" i="1" s="1"/>
  <c r="D68" i="1" s="1"/>
  <c r="E68" i="1" s="1"/>
  <c r="AG21" i="4"/>
  <c r="F98" i="4"/>
  <c r="F99" i="4"/>
  <c r="F100" i="4"/>
  <c r="F97" i="4"/>
  <c r="D6" i="1"/>
  <c r="E55" i="1" l="1"/>
  <c r="E39" i="1"/>
  <c r="E32" i="1"/>
  <c r="E25" i="1"/>
  <c r="E12" i="1"/>
  <c r="G106" i="4"/>
  <c r="G107" i="4"/>
  <c r="G108" i="4"/>
  <c r="G105" i="4"/>
  <c r="F106" i="4"/>
  <c r="F105" i="4"/>
  <c r="E50" i="4"/>
  <c r="D32" i="1"/>
  <c r="M6" i="1" s="1"/>
  <c r="G100" i="4"/>
  <c r="Y99" i="4"/>
  <c r="Y98" i="4"/>
  <c r="Y97" i="4"/>
  <c r="N61" i="2"/>
  <c r="O58" i="2"/>
  <c r="D38" i="1"/>
  <c r="D37" i="1"/>
  <c r="F29" i="5"/>
  <c r="F22" i="5"/>
  <c r="D36" i="1"/>
  <c r="F15" i="5"/>
  <c r="F8" i="5"/>
  <c r="D35" i="1" s="1"/>
  <c r="D39" i="1" s="1"/>
  <c r="M7" i="1" s="1"/>
  <c r="G98" i="4"/>
  <c r="G99" i="4"/>
  <c r="G97" i="4"/>
  <c r="G73" i="4"/>
  <c r="D20" i="1" s="1"/>
  <c r="D56" i="1" s="1"/>
  <c r="E56" i="1" s="1"/>
  <c r="I62" i="4"/>
  <c r="G65" i="4"/>
  <c r="G64" i="4"/>
  <c r="G63" i="4"/>
  <c r="G62" i="4"/>
  <c r="G56" i="4"/>
  <c r="AG26" i="4"/>
  <c r="AG33" i="4"/>
  <c r="AG6" i="4"/>
  <c r="AG7" i="4"/>
  <c r="AG8" i="4"/>
  <c r="AG9" i="4"/>
  <c r="AG10" i="4"/>
  <c r="AG11" i="4"/>
  <c r="AG12" i="4"/>
  <c r="AG13" i="4"/>
  <c r="AG14" i="4"/>
  <c r="AG15" i="4"/>
  <c r="AG16" i="4"/>
  <c r="AG17" i="4"/>
  <c r="AG18" i="4"/>
  <c r="AG19" i="4"/>
  <c r="AG20" i="4"/>
  <c r="AG22" i="4"/>
  <c r="AG23" i="4"/>
  <c r="AG24" i="4"/>
  <c r="AG25" i="4"/>
  <c r="AG27" i="4"/>
  <c r="AG28" i="4"/>
  <c r="AG29" i="4"/>
  <c r="AG30" i="4"/>
  <c r="AG31" i="4"/>
  <c r="AG32" i="4"/>
  <c r="AG5" i="4"/>
  <c r="AB6" i="4"/>
  <c r="AB7" i="4"/>
  <c r="AB8" i="4"/>
  <c r="AB9" i="4"/>
  <c r="AB10" i="4"/>
  <c r="AB11" i="4"/>
  <c r="AB12" i="4"/>
  <c r="AB13" i="4"/>
  <c r="AB14" i="4"/>
  <c r="AB15" i="4"/>
  <c r="AB16" i="4"/>
  <c r="AB17" i="4"/>
  <c r="AB18" i="4"/>
  <c r="AB19" i="4"/>
  <c r="AB20" i="4"/>
  <c r="AB21" i="4"/>
  <c r="AB22" i="4"/>
  <c r="AB23" i="4"/>
  <c r="AB24" i="4"/>
  <c r="AB25" i="4"/>
  <c r="AB26" i="4"/>
  <c r="AB27" i="4"/>
  <c r="AB28" i="4"/>
  <c r="AB29" i="4"/>
  <c r="AB30" i="4"/>
  <c r="AB5" i="4"/>
  <c r="J11" i="2"/>
  <c r="N43" i="2"/>
  <c r="D31" i="1"/>
  <c r="D30" i="1"/>
  <c r="D29" i="1"/>
  <c r="F12" i="3"/>
  <c r="F17" i="3"/>
  <c r="D28" i="1"/>
  <c r="F7" i="3"/>
  <c r="G59" i="2"/>
  <c r="G60" i="2" s="1"/>
  <c r="D11" i="1" s="1"/>
  <c r="D10" i="1"/>
  <c r="G55" i="2"/>
  <c r="D9" i="1"/>
  <c r="D7" i="1"/>
  <c r="G49" i="2"/>
  <c r="G44" i="2"/>
  <c r="D8" i="1" s="1"/>
  <c r="J44" i="2"/>
  <c r="K40" i="2"/>
  <c r="G22" i="2"/>
  <c r="G19" i="2"/>
  <c r="G20" i="2"/>
  <c r="G21" i="2"/>
  <c r="G18" i="2"/>
  <c r="F19" i="2"/>
  <c r="F20" i="2"/>
  <c r="F21" i="2"/>
  <c r="F18" i="2"/>
  <c r="E22" i="2"/>
  <c r="E20" i="2"/>
  <c r="E19" i="2"/>
  <c r="E18" i="2"/>
  <c r="K20" i="2"/>
  <c r="K21" i="2"/>
  <c r="K22" i="2"/>
  <c r="K23" i="2"/>
  <c r="K24" i="2"/>
  <c r="K25" i="2"/>
  <c r="K26" i="2"/>
  <c r="K27" i="2"/>
  <c r="K28" i="2"/>
  <c r="K29" i="2"/>
  <c r="K30" i="2"/>
  <c r="K31" i="2"/>
  <c r="K32" i="2"/>
  <c r="K33" i="2"/>
  <c r="K34" i="2"/>
  <c r="K35" i="2"/>
  <c r="K36" i="2"/>
  <c r="K37" i="2"/>
  <c r="K19" i="2"/>
  <c r="F13" i="2"/>
  <c r="F10" i="2"/>
  <c r="F11" i="2"/>
  <c r="F12" i="2"/>
  <c r="F9" i="2"/>
  <c r="I15" i="2"/>
  <c r="I11" i="2"/>
  <c r="E49" i="4" l="1"/>
  <c r="F49" i="4" s="1"/>
  <c r="D12" i="1"/>
  <c r="M4" i="1" s="1"/>
  <c r="M17" i="1"/>
  <c r="M14" i="1"/>
  <c r="M15" i="1"/>
  <c r="M16" i="1"/>
  <c r="E40" i="1"/>
  <c r="G101" i="4"/>
  <c r="D23" i="1" s="1"/>
  <c r="D53" i="1" s="1"/>
  <c r="E53" i="1" s="1"/>
  <c r="E43" i="4"/>
  <c r="G66" i="4"/>
  <c r="D19" i="1" s="1"/>
  <c r="D57" i="1" s="1"/>
  <c r="E57" i="1" s="1"/>
  <c r="F42" i="4" l="1"/>
  <c r="G42" i="4" s="1"/>
  <c r="F43" i="4"/>
  <c r="F50" i="4"/>
  <c r="G50" i="4" s="1"/>
  <c r="M10" i="1"/>
  <c r="M11" i="1" s="1"/>
  <c r="G49" i="4"/>
  <c r="G109" i="4"/>
  <c r="D24" i="1" s="1"/>
  <c r="D52" i="1" s="1"/>
  <c r="E52" i="1" s="1"/>
  <c r="K37" i="4"/>
  <c r="L34" i="4" s="1"/>
  <c r="S40" i="4"/>
  <c r="E5" i="4" s="1"/>
  <c r="I55" i="4"/>
  <c r="K92" i="4"/>
  <c r="G43" i="4" l="1"/>
  <c r="G44" i="4" s="1"/>
  <c r="D16" i="1" s="1"/>
  <c r="D60" i="1" s="1"/>
  <c r="E60" i="1" s="1"/>
  <c r="J55" i="4"/>
  <c r="F55" i="4"/>
  <c r="G55" i="4" s="1"/>
  <c r="G58" i="4" s="1"/>
  <c r="D18" i="1" s="1"/>
  <c r="D58" i="1" s="1"/>
  <c r="E58" i="1" s="1"/>
  <c r="K93" i="4"/>
  <c r="K94" i="4" s="1"/>
  <c r="F83" i="4"/>
  <c r="G83" i="4" s="1"/>
  <c r="E8" i="4"/>
  <c r="F8" i="4" s="1"/>
  <c r="E7" i="4"/>
  <c r="F7" i="4" s="1"/>
  <c r="G51" i="4"/>
  <c r="D17" i="1" s="1"/>
  <c r="D59" i="1" s="1"/>
  <c r="E59" i="1" s="1"/>
  <c r="F5" i="4"/>
  <c r="T36" i="4"/>
  <c r="T39" i="4"/>
  <c r="T37" i="4"/>
  <c r="E6" i="4"/>
  <c r="F6" i="4" s="1"/>
  <c r="L36" i="4"/>
  <c r="L35" i="4"/>
  <c r="L33" i="4"/>
  <c r="T38" i="4"/>
  <c r="D22" i="1" l="1"/>
  <c r="D54" i="1" s="1"/>
  <c r="E54" i="1" s="1"/>
  <c r="F9" i="4"/>
  <c r="D15" i="1" s="1"/>
  <c r="D40" i="1" l="1"/>
  <c r="D61" i="1"/>
  <c r="E61" i="1" s="1"/>
  <c r="D25" i="1"/>
  <c r="M5" i="1" l="1"/>
  <c r="N7" i="1" s="1"/>
  <c r="F25" i="1"/>
  <c r="M13" i="1"/>
  <c r="M12" i="1"/>
  <c r="N5" i="1"/>
  <c r="N6" i="1"/>
  <c r="N4" i="1"/>
</calcChain>
</file>

<file path=xl/sharedStrings.xml><?xml version="1.0" encoding="utf-8"?>
<sst xmlns="http://schemas.openxmlformats.org/spreadsheetml/2006/main" count="471" uniqueCount="223">
  <si>
    <t>Stadens Utformning</t>
  </si>
  <si>
    <t>Samplanering</t>
  </si>
  <si>
    <t>Genhet</t>
  </si>
  <si>
    <t>Hållplatsavstånd</t>
  </si>
  <si>
    <t>Tvära kurvor</t>
  </si>
  <si>
    <t>Barriäreffekt</t>
  </si>
  <si>
    <t>Cykelstråk</t>
  </si>
  <si>
    <t>Anslutningar till hållplatser</t>
  </si>
  <si>
    <t>Fordon och stödsystem</t>
  </si>
  <si>
    <t>Identitet</t>
  </si>
  <si>
    <t>Realtidsinformation</t>
  </si>
  <si>
    <t>Påstigning i alla dörrar</t>
  </si>
  <si>
    <t>Regularitetsstöd</t>
  </si>
  <si>
    <t>Kollektivtrafikens infrastruktur</t>
  </si>
  <si>
    <t>Busskörfält eller bussgata</t>
  </si>
  <si>
    <t>Busskörfältens placering</t>
  </si>
  <si>
    <t>Annan användning av busskörfälten</t>
  </si>
  <si>
    <t>Utfarter i busskörfält</t>
  </si>
  <si>
    <t>Gatuparkering</t>
  </si>
  <si>
    <t>Farthinder</t>
  </si>
  <si>
    <t>Bussprioritet i korsningar</t>
  </si>
  <si>
    <t>Svängande trafik som korsar bussens körväg</t>
  </si>
  <si>
    <t>Hållplatstyper och plant insteg</t>
  </si>
  <si>
    <t>Utrustning på hållplatser</t>
  </si>
  <si>
    <t>Trafikering</t>
  </si>
  <si>
    <t>Turtäthet dagtid</t>
  </si>
  <si>
    <t>Turtäthet kvällar och helger</t>
  </si>
  <si>
    <t>Öppetider vardag</t>
  </si>
  <si>
    <t>Öppetider helg</t>
  </si>
  <si>
    <t>En översyn av prissättning och placering av gatuparkeringar längs stråket görs i samband med planeringen av BRT.</t>
  </si>
  <si>
    <t>En översyn av planeringsdokument och strategier för cykel- och gångstråk görs i samband med planeringen av BRT.</t>
  </si>
  <si>
    <t>Poäng</t>
  </si>
  <si>
    <t>Viktas med</t>
  </si>
  <si>
    <t>10 % längre än fågelvägen eller mindre</t>
  </si>
  <si>
    <t>20 % längre än fågelvägen</t>
  </si>
  <si>
    <t>30 % längre än fågelvägen</t>
  </si>
  <si>
    <t>40 % längre än fågelvägen eller mer</t>
  </si>
  <si>
    <t>Hållplats</t>
  </si>
  <si>
    <t>Råå kattegattsgatan till Helsingborg C, fågel</t>
  </si>
  <si>
    <t>Råå kattegattsgatan till Helsingborg C, faktisk</t>
  </si>
  <si>
    <t>Skillnad mellan faktisk och fågel (%)</t>
  </si>
  <si>
    <t>Enhet</t>
  </si>
  <si>
    <t>Helsingborg Dalhem centrum till Helsingborg C, få</t>
  </si>
  <si>
    <t>Helsingborg Dalhem centrum till Helsingborg C, fa</t>
  </si>
  <si>
    <t>Summa</t>
  </si>
  <si>
    <t>Minst 600m</t>
  </si>
  <si>
    <t>Minst 500m</t>
  </si>
  <si>
    <t>Minst 400m</t>
  </si>
  <si>
    <t>Mindre än 400 m</t>
  </si>
  <si>
    <t>Poäng (tot)</t>
  </si>
  <si>
    <t>Rå katt</t>
  </si>
  <si>
    <t>avstånd m</t>
  </si>
  <si>
    <t>hållp. Avs</t>
  </si>
  <si>
    <t>Antal</t>
  </si>
  <si>
    <t>hel dal cen</t>
  </si>
  <si>
    <t>sum</t>
  </si>
  <si>
    <t>0,25 tvära kurvor per kilometer i genomsnitt, eller glesare</t>
  </si>
  <si>
    <t>0,50 per kilometer</t>
  </si>
  <si>
    <t>0,75 per kilometer</t>
  </si>
  <si>
    <t>1,00 per kilometer eller tätare</t>
  </si>
  <si>
    <t>Radie</t>
  </si>
  <si>
    <t>Höjd</t>
  </si>
  <si>
    <t>längd f</t>
  </si>
  <si>
    <t>antal svängar</t>
  </si>
  <si>
    <t xml:space="preserve">Total längd </t>
  </si>
  <si>
    <t>BRT-satsningen medför oförändrat eller kortare avstånd för fotgängare som kor-sar något av korsningens ben.</t>
  </si>
  <si>
    <t>BRT-satsningen medför längre avstånd för korsande fotgängare i minst ett av korsningens ben.</t>
  </si>
  <si>
    <t>Poäng tot</t>
  </si>
  <si>
    <t>Sum</t>
  </si>
  <si>
    <t>Cykelbanor utmed eller parallellt med hela busstråket</t>
  </si>
  <si>
    <t>Cykelbanor utmed eller parallellt med stora delar av busstråket</t>
  </si>
  <si>
    <t>Bristande eller ingen cykelinfrastruktur utmed busstråket</t>
  </si>
  <si>
    <t>Viktas med (km)</t>
  </si>
  <si>
    <t xml:space="preserve">Viktas med </t>
  </si>
  <si>
    <t>Anslutning till hållplatser</t>
  </si>
  <si>
    <t>Tydlig vägvisning till hållplatserna i stadsrummet</t>
  </si>
  <si>
    <t>Cykelparkering i nära anslutning till hållplatserna</t>
  </si>
  <si>
    <t>Totalt</t>
  </si>
  <si>
    <t>Helsingborgsexpressen</t>
  </si>
  <si>
    <t>Alla BRT-fordon har en enhetlig design som särskiljer sig från bussar som inte tillhör en BRT-linje.</t>
  </si>
  <si>
    <t>BRT-linjen har en identitet som särskiljs från övrig, konventionell busstrafik i om-rådet och denna differentiering framgår på linjekartor, hållplatsskyltar och fordon.</t>
  </si>
  <si>
    <t>Identitet (4p tot)</t>
  </si>
  <si>
    <t>Audiovisuell realtidsinformation på hållplatser om nästa avgång (ändhållplatser undantagna)</t>
  </si>
  <si>
    <t>Audiovisuell realtidsinformation ombord om flera hållplatser framåt samt bytes-möjligheter</t>
  </si>
  <si>
    <t>%</t>
  </si>
  <si>
    <t>Passargerarflöde</t>
  </si>
  <si>
    <t>Påstigning i alla dörrar tillåts</t>
  </si>
  <si>
    <t>Alla dörrpositioner är markerade på plattformen</t>
  </si>
  <si>
    <t>IT-system som säkerställer god regularitet (jämna tidsintervall mellan avgång-arna)</t>
  </si>
  <si>
    <t>Viktning med</t>
  </si>
  <si>
    <t>Fysiskt separerade busskörfält (till exempel med kantsten eller refug mellan busskörfält och övriga körfält) eller bussgata</t>
  </si>
  <si>
    <t>Visuellt markerade busskörfält med avvikande färg och heldragen linje, men ingen fysisk separering</t>
  </si>
  <si>
    <t>Busskörfält avgränsade endast med målad linje</t>
  </si>
  <si>
    <t>Blandtrafik</t>
  </si>
  <si>
    <t>Visuellt markerat</t>
  </si>
  <si>
    <t>Endast målad linje</t>
  </si>
  <si>
    <t>Start Råå kattegattgatan</t>
  </si>
  <si>
    <t>Start Dalhem centrum</t>
  </si>
  <si>
    <t>Sträckor</t>
  </si>
  <si>
    <t>Fysiskt separerad</t>
  </si>
  <si>
    <t>Andelar</t>
  </si>
  <si>
    <t>Mittförlagda busskörfält eller bussgata (egen bussgata eller busskörfält där båda riktningarna är samlade vid sidan av övriga körfält)</t>
  </si>
  <si>
    <t>Busskörfält i körbanekant (yttre körfält, utmed kantsten eller gatuparkering)</t>
  </si>
  <si>
    <t>poäng</t>
  </si>
  <si>
    <t>Annan användning av busskörfälten (max 3 p)</t>
  </si>
  <si>
    <t>Endast bussar (och utryckningsfordon) tillåts</t>
  </si>
  <si>
    <t>Blandtrafik eller busskörfält där cykel eller taxi tillåts</t>
  </si>
  <si>
    <t>Utfarter i busskörfält (max 2 p)</t>
  </si>
  <si>
    <t>Inga</t>
  </si>
  <si>
    <t>0,25 per kilometer i genomsnitt</t>
  </si>
  <si>
    <t>0,5 per kilometer eller fler</t>
  </si>
  <si>
    <t>Gatuparkering (max 3 p)</t>
  </si>
  <si>
    <t>0,33 per kilometer i genomsnitt</t>
  </si>
  <si>
    <t>0,67 per kilometer</t>
  </si>
  <si>
    <t>Parkeringsplatser</t>
  </si>
  <si>
    <t>Vissa räknade enligt uppskattning att en parkeringsplats längs med gatan är 5 meter läng</t>
  </si>
  <si>
    <t>Fler än 24 parkeringar identifierades</t>
  </si>
  <si>
    <t>Farthinder (max 3 p)</t>
  </si>
  <si>
    <t>0,17 per kilometer i genomsnitt</t>
  </si>
  <si>
    <t>0,33 per kilometer</t>
  </si>
  <si>
    <t>0,50 per kilometer eller tätare</t>
  </si>
  <si>
    <t>Inga farthiner kunde hittas</t>
  </si>
  <si>
    <t>Bussprioritet i korsningar (max 7 p)</t>
  </si>
  <si>
    <t>Signalprioritet för busstrafiken införs eller bibehålls</t>
  </si>
  <si>
    <t>Ingen signalprioritet eller bussar på aktuell linje har väjningsplikt</t>
  </si>
  <si>
    <t>Svängande trafik som korsar bussens körväg (max 3 p)</t>
  </si>
  <si>
    <t>Förekommer ej</t>
  </si>
  <si>
    <t>0,67 per kilometer i genomsnitt</t>
  </si>
  <si>
    <t>1,33 per kilometer</t>
  </si>
  <si>
    <t>2,00 per kilometer eller tätare</t>
  </si>
  <si>
    <t>Gäller endast där det är busskörfält, ej i blandtrafik. Så endast där valig trafik korsar ett busskörfält.</t>
  </si>
  <si>
    <t>Ej ok</t>
  </si>
  <si>
    <t>Inte ok, busskörfält innan och efter</t>
  </si>
  <si>
    <t>Utfart som korsar busskörfält</t>
  </si>
  <si>
    <t>Cyklar i busskörfält</t>
  </si>
  <si>
    <t>Antal svängande trafik som körsar bussens väg</t>
  </si>
  <si>
    <t>Total längd busskörfält (km)</t>
  </si>
  <si>
    <t>per km</t>
  </si>
  <si>
    <t>Hållplatstyper och plant insteg (max 10 p)</t>
  </si>
  <si>
    <t>Stopphållplats med plant insteg utan bussnigning: "spårvagnsplattform", ca 30 cm hög och utskjutande (så kallad klack eller perrongutvidgning) eller med an-nan utrustning för att minimera horisontellt avstånd mellan buss och plattform</t>
  </si>
  <si>
    <t>Stopphållplats med utskjutande plattform (så kallad klack eller perrongutvidg-ning) eller annan utrustning för att minimera horisontellt avstånd mellan buss och plattform</t>
  </si>
  <si>
    <t>Stopphållplats</t>
  </si>
  <si>
    <t>Fickhållplats (bussen måste göra minst en sidoförflyttning för att komma in eller ut från hållplatsen)</t>
  </si>
  <si>
    <t>19 stopp med plant insteg och utskutande, 1 ficka</t>
  </si>
  <si>
    <t>Vid statena, en bussficka</t>
  </si>
  <si>
    <t>Utrustning på hållplatser (max 3 p)</t>
  </si>
  <si>
    <t>Väderskydd, sittplatser och belysning finns – väntyta under tak motsvarande hela fordonets längd (eller åtminstone motsvarande avståndet mellan främsta och bakersta dörr)</t>
  </si>
  <si>
    <t>Väderskydd, sittplatser och belysning finns – väntyta under tak motsvarande minst halva fordonets längd</t>
  </si>
  <si>
    <t>Väderskydd, sittplatser och belysning finns – väntyta under tak motsvarande mindre än halva fordonets längd</t>
  </si>
  <si>
    <t>Väderskydd, sittplatser eller belysning saknas</t>
  </si>
  <si>
    <t>14 meter väderskydd anses inte täcka bussens längd som är 18 meter. Nya bussar som kommera vara 24 meter kommer det räcka ännu mindre.</t>
  </si>
  <si>
    <t>Fullt väderskydd</t>
  </si>
  <si>
    <t>Antal kilometer bussfil</t>
  </si>
  <si>
    <t>Antal utfarter dalhem - råå</t>
  </si>
  <si>
    <t>Antal utfarter Råå-Dalhem</t>
  </si>
  <si>
    <t>Turtäthet dagtid (max 4 p)</t>
  </si>
  <si>
    <t>Max 8 minuter mellan avgångar</t>
  </si>
  <si>
    <t>Max 10 minuter mellan avgångar</t>
  </si>
  <si>
    <t>Mer än 10 minuter mellan avgångar (någon gång under perioden)</t>
  </si>
  <si>
    <t>Turtäthet kvällar och helger (max 4 p)</t>
  </si>
  <si>
    <t>Max 15 minuter mellan avgångar</t>
  </si>
  <si>
    <t>Max 20 minuter mellan avgångar</t>
  </si>
  <si>
    <t>Mer än 20 minuter mellan avgångar (någon gång under perioden)</t>
  </si>
  <si>
    <t>på kvällen är det max 20 minuter mellan avgångarna innan kl 22</t>
  </si>
  <si>
    <t>Öppettider vardag (max 3 p)</t>
  </si>
  <si>
    <t>Minst 19 timmar (till exempel från kl. 5 till midnatt)</t>
  </si>
  <si>
    <t>Minst 17 timmar (till exempel från kl. 6 till 23)</t>
  </si>
  <si>
    <t>Mindre än 17 timmar</t>
  </si>
  <si>
    <t>Första avgången 04:30, sista avgången 02:50 Dalhem-Råå</t>
  </si>
  <si>
    <t>Öppettider helg (max 3 p)</t>
  </si>
  <si>
    <t>Minst 15 timmar (till exempel från kl. 7 till 22)</t>
  </si>
  <si>
    <t>Mindre än 15 timmar</t>
  </si>
  <si>
    <t>Första avgången 04:45, sista avgången 02:45 Dalhem-Råå</t>
  </si>
  <si>
    <t>km/h</t>
  </si>
  <si>
    <t>m/s</t>
  </si>
  <si>
    <t>10m gång</t>
  </si>
  <si>
    <t>Inte ok pga vänstersvängen</t>
  </si>
  <si>
    <t>Kolla så du fått med alla hållplatser</t>
  </si>
  <si>
    <t>Midjeplattform</t>
  </si>
  <si>
    <t>Vanlig utan ficka</t>
  </si>
  <si>
    <t>Spårvagn</t>
  </si>
  <si>
    <t>Den tredelade definieras som fulls skydd, den i två delar sätts som halvt skydd.</t>
  </si>
  <si>
    <t>Stopp utskjutande</t>
  </si>
  <si>
    <t>Ficka</t>
  </si>
  <si>
    <t>Bra lösning?</t>
  </si>
  <si>
    <t>GAMMALT</t>
  </si>
  <si>
    <t>Gammal</t>
  </si>
  <si>
    <t>Max P</t>
  </si>
  <si>
    <t>Parameter</t>
  </si>
  <si>
    <t>Stadens Utformning pot</t>
  </si>
  <si>
    <t>Kollektivtrafikens infrastruktur pot</t>
  </si>
  <si>
    <t>Fordon och stödsystem pot</t>
  </si>
  <si>
    <t>Trafikering pot</t>
  </si>
  <si>
    <t>10 minuter vid kl 11</t>
  </si>
  <si>
    <t>Parametrar</t>
  </si>
  <si>
    <t>Faktisk poäng</t>
  </si>
  <si>
    <t>Skillnad</t>
  </si>
  <si>
    <t>25. Öppetider helg</t>
  </si>
  <si>
    <t>24. Öppetider vardag</t>
  </si>
  <si>
    <t>23. Turtäthet kvällar och helger</t>
  </si>
  <si>
    <t>22. Turtäthet dagtid</t>
  </si>
  <si>
    <t>21. Regularitetsstöd</t>
  </si>
  <si>
    <t>20. Påstigning i alla dörrar</t>
  </si>
  <si>
    <t>19. Realtidsinformation</t>
  </si>
  <si>
    <t>18. Identitet</t>
  </si>
  <si>
    <t>17. Utrustning på hållplatser</t>
  </si>
  <si>
    <t>16. Hållplatstyper och plant insteg</t>
  </si>
  <si>
    <t>15. Svängande trafik</t>
  </si>
  <si>
    <t>14. Bussprioritet i korsningar</t>
  </si>
  <si>
    <t>13. Farthinder</t>
  </si>
  <si>
    <t>12. Gatuparkering</t>
  </si>
  <si>
    <t>11. Utfarter i busskörfält</t>
  </si>
  <si>
    <t>10. Annan användning av busskörfälten</t>
  </si>
  <si>
    <t>9. Busskörfältens placering</t>
  </si>
  <si>
    <t>8. Busskörfält eller bussgata</t>
  </si>
  <si>
    <t>7. Anslutningar till hållplatser</t>
  </si>
  <si>
    <t>6. Cykelstråk</t>
  </si>
  <si>
    <t>5. Barriäreffekt</t>
  </si>
  <si>
    <t>4. Tvära kurvor</t>
  </si>
  <si>
    <t>3. Hållplatsavstånd</t>
  </si>
  <si>
    <t>2. Genhet</t>
  </si>
  <si>
    <t>1. Samplanering</t>
  </si>
  <si>
    <t>tot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</si>
</sst>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 tint="0.39997558519241921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0" applyNumberFormat="0" applyBorder="0" applyAlignment="0" applyProtection="0"/>
  </cellStyleXfs>
  <cellXfs count="34">
    <xf numFmtId="0" fontId="0" fillId="0" borderId="0" xfId="0"/>
    <xf numFmtId="0" fontId="0" fillId="0" borderId="1" xfId="0" applyBorder="1"/>
    <xf numFmtId="0" fontId="0" fillId="0" borderId="1" xfId="0" applyBorder="1" applyAlignment="1">
      <alignment wrapText="1"/>
    </xf>
    <xf numFmtId="0" fontId="2" fillId="3" borderId="1" xfId="2" applyBorder="1"/>
    <xf numFmtId="0" fontId="1" fillId="2" borderId="1" xfId="1" applyBorder="1"/>
    <xf numFmtId="2" fontId="0" fillId="0" borderId="0" xfId="0" applyNumberFormat="1"/>
    <xf numFmtId="2" fontId="0" fillId="0" borderId="1" xfId="0" applyNumberFormat="1" applyBorder="1"/>
    <xf numFmtId="0" fontId="0" fillId="0" borderId="4" xfId="0" applyBorder="1"/>
    <xf numFmtId="164" fontId="0" fillId="0" borderId="0" xfId="0" applyNumberFormat="1"/>
    <xf numFmtId="0" fontId="3" fillId="4" borderId="1" xfId="3" applyBorder="1"/>
    <xf numFmtId="0" fontId="0" fillId="0" borderId="0" xfId="0" applyAlignment="1">
      <alignment wrapText="1"/>
    </xf>
    <xf numFmtId="164" fontId="0" fillId="0" borderId="4" xfId="0" applyNumberFormat="1" applyBorder="1"/>
    <xf numFmtId="164" fontId="0" fillId="0" borderId="1" xfId="0" applyNumberFormat="1" applyBorder="1"/>
    <xf numFmtId="0" fontId="3" fillId="4" borderId="0" xfId="3"/>
    <xf numFmtId="164" fontId="1" fillId="2" borderId="1" xfId="1" applyNumberFormat="1" applyBorder="1"/>
    <xf numFmtId="0" fontId="4" fillId="0" borderId="0" xfId="0" applyFont="1"/>
    <xf numFmtId="0" fontId="4" fillId="0" borderId="1" xfId="0" applyFont="1" applyBorder="1"/>
    <xf numFmtId="0" fontId="0" fillId="5" borderId="7" xfId="0" applyFill="1" applyBorder="1"/>
    <xf numFmtId="0" fontId="0" fillId="5" borderId="5" xfId="0" applyFill="1" applyBorder="1"/>
    <xf numFmtId="0" fontId="0" fillId="5" borderId="4" xfId="0" applyFill="1" applyBorder="1"/>
    <xf numFmtId="0" fontId="0" fillId="6" borderId="7" xfId="0" applyFill="1" applyBorder="1"/>
    <xf numFmtId="0" fontId="0" fillId="6" borderId="5" xfId="0" applyFill="1" applyBorder="1"/>
    <xf numFmtId="0" fontId="0" fillId="6" borderId="4" xfId="0" applyFill="1" applyBorder="1"/>
    <xf numFmtId="0" fontId="0" fillId="7" borderId="7" xfId="0" applyFill="1" applyBorder="1"/>
    <xf numFmtId="0" fontId="0" fillId="7" borderId="5" xfId="0" applyFill="1" applyBorder="1"/>
    <xf numFmtId="0" fontId="0" fillId="7" borderId="4" xfId="0" applyFill="1" applyBorder="1"/>
    <xf numFmtId="0" fontId="0" fillId="8" borderId="7" xfId="0" applyFill="1" applyBorder="1"/>
    <xf numFmtId="0" fontId="0" fillId="8" borderId="5" xfId="0" applyFill="1" applyBorder="1"/>
    <xf numFmtId="0" fontId="0" fillId="8" borderId="4" xfId="0" applyFill="1" applyBorder="1"/>
    <xf numFmtId="0" fontId="1" fillId="2" borderId="1" xfId="1" applyBorder="1" applyAlignment="1">
      <alignment horizontal="left"/>
    </xf>
    <xf numFmtId="1" fontId="0" fillId="0" borderId="0" xfId="0" applyNumberFormat="1"/>
    <xf numFmtId="0" fontId="1" fillId="2" borderId="2" xfId="1" applyBorder="1" applyAlignment="1">
      <alignment horizontal="center"/>
    </xf>
    <xf numFmtId="0" fontId="1" fillId="2" borderId="6" xfId="1" applyBorder="1" applyAlignment="1">
      <alignment horizontal="center"/>
    </xf>
    <xf numFmtId="0" fontId="1" fillId="2" borderId="3" xfId="1" applyBorder="1" applyAlignment="1">
      <alignment horizontal="center"/>
    </xf>
  </cellXfs>
  <cellStyles count="4">
    <cellStyle name="Bra" xfId="1" builtinId="26"/>
    <cellStyle name="Dålig" xfId="2" builtinId="27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microsoft.com/office/2017/10/relationships/person" Target="persons/perso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sv-SE"/>
              <a:t>HelsingborgsExpressen, 64,6 p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8.455444444444446E-2"/>
          <c:y val="0.12710007610350077"/>
          <c:w val="0.84448999999999996"/>
          <c:h val="0.86762671232876709"/>
        </c:manualLayout>
      </c:layout>
      <c:pie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6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4-2D48-4900-9F5F-6414D1F553BA}"/>
              </c:ext>
            </c:extLst>
          </c:dPt>
          <c:dPt>
            <c:idx val="1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6-2D48-4900-9F5F-6414D1F553BA}"/>
              </c:ext>
            </c:extLst>
          </c:dPt>
          <c:dPt>
            <c:idx val="2"/>
            <c:bubble3D val="0"/>
            <c:spPr>
              <a:solidFill>
                <a:schemeClr val="accent2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8-2D48-4900-9F5F-6414D1F553BA}"/>
              </c:ext>
            </c:extLst>
          </c:dPt>
          <c:dPt>
            <c:idx val="3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A-2D48-4900-9F5F-6414D1F553B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C-2D48-4900-9F5F-6414D1F553BA}"/>
              </c:ext>
            </c:extLst>
          </c:dPt>
          <c:dPt>
            <c:idx val="5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2E-2D48-4900-9F5F-6414D1F553BA}"/>
              </c:ext>
            </c:extLst>
          </c:dPt>
          <c:dPt>
            <c:idx val="6"/>
            <c:bubble3D val="0"/>
            <c:spPr>
              <a:solidFill>
                <a:schemeClr val="accent4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30-2D48-4900-9F5F-6414D1F553BA}"/>
              </c:ext>
            </c:extLst>
          </c:dPt>
          <c:dPt>
            <c:idx val="7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32-2D48-4900-9F5F-6414D1F553B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sv-S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Sammanfattning!$L$10:$L$17</c:f>
              <c:strCache>
                <c:ptCount val="8"/>
                <c:pt idx="0">
                  <c:v>Stadens Utformning</c:v>
                </c:pt>
                <c:pt idx="1">
                  <c:v>Stadens Utformning pot</c:v>
                </c:pt>
                <c:pt idx="2">
                  <c:v>Kollektivtrafikens infrastruktur</c:v>
                </c:pt>
                <c:pt idx="3">
                  <c:v>Kollektivtrafikens infrastruktur pot</c:v>
                </c:pt>
                <c:pt idx="4">
                  <c:v>Fordon och stödsystem</c:v>
                </c:pt>
                <c:pt idx="5">
                  <c:v>Fordon och stödsystem pot</c:v>
                </c:pt>
                <c:pt idx="6">
                  <c:v>Trafikering</c:v>
                </c:pt>
                <c:pt idx="7">
                  <c:v>Trafikering pot</c:v>
                </c:pt>
              </c:strCache>
            </c:strRef>
          </c:cat>
          <c:val>
            <c:numRef>
              <c:f>Sammanfattning!$M$10:$M$17</c:f>
              <c:numCache>
                <c:formatCode>0</c:formatCode>
                <c:ptCount val="8"/>
                <c:pt idx="0">
                  <c:v>15.036842105263158</c:v>
                </c:pt>
                <c:pt idx="1">
                  <c:v>4.9631578947368418</c:v>
                </c:pt>
                <c:pt idx="2">
                  <c:v>22.553613813635923</c:v>
                </c:pt>
                <c:pt idx="3">
                  <c:v>23.446386186364077</c:v>
                </c:pt>
                <c:pt idx="4">
                  <c:v>15</c:v>
                </c:pt>
                <c:pt idx="5">
                  <c:v>5</c:v>
                </c:pt>
                <c:pt idx="6">
                  <c:v>12</c:v>
                </c:pt>
                <c:pt idx="7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3-2D48-4900-9F5F-6414D1F553BA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stack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2-CE61-41E2-8BCA-8FF9323CF252}"/>
              </c:ext>
            </c:extLst>
          </c:dPt>
          <c:dPt>
            <c:idx val="1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4-CE61-41E2-8BCA-8FF9323CF252}"/>
              </c:ext>
            </c:extLst>
          </c:dPt>
          <c:dPt>
            <c:idx val="2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6-CE61-41E2-8BCA-8FF9323CF252}"/>
              </c:ext>
            </c:extLst>
          </c:dPt>
          <c:dPt>
            <c:idx val="3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8-CE61-41E2-8BCA-8FF9323CF252}"/>
              </c:ext>
            </c:extLst>
          </c:dPt>
          <c:dPt>
            <c:idx val="4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A-CE61-41E2-8BCA-8FF9323CF252}"/>
              </c:ext>
            </c:extLst>
          </c:dPt>
          <c:dPt>
            <c:idx val="5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C-CE61-41E2-8BCA-8FF9323CF252}"/>
              </c:ext>
            </c:extLst>
          </c:dPt>
          <c:dPt>
            <c:idx val="6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6E-CE61-41E2-8BCA-8FF9323CF252}"/>
              </c:ext>
            </c:extLst>
          </c:dPt>
          <c:dPt>
            <c:idx val="7"/>
            <c:invertIfNegative val="0"/>
            <c:bubble3D val="0"/>
            <c:spPr>
              <a:solidFill>
                <a:srgbClr val="4472C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0-CE61-41E2-8BCA-8FF9323CF252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2-CE61-41E2-8BCA-8FF9323CF252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4-CE61-41E2-8BCA-8FF9323CF252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6-CE61-41E2-8BCA-8FF9323CF252}"/>
              </c:ext>
            </c:extLst>
          </c:dPt>
          <c:dPt>
            <c:idx val="11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8-CE61-41E2-8BCA-8FF9323CF252}"/>
              </c:ext>
            </c:extLst>
          </c:dPt>
          <c:dPt>
            <c:idx val="12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A-CE61-41E2-8BCA-8FF9323CF252}"/>
              </c:ext>
            </c:extLst>
          </c:dPt>
          <c:dPt>
            <c:idx val="13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C-CE61-41E2-8BCA-8FF9323CF252}"/>
              </c:ext>
            </c:extLst>
          </c:dPt>
          <c:dPt>
            <c:idx val="14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7E-CE61-41E2-8BCA-8FF9323CF252}"/>
              </c:ext>
            </c:extLst>
          </c:dPt>
          <c:dPt>
            <c:idx val="15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0-CE61-41E2-8BCA-8FF9323CF252}"/>
              </c:ext>
            </c:extLst>
          </c:dPt>
          <c:dPt>
            <c:idx val="16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2-CE61-41E2-8BCA-8FF9323CF252}"/>
              </c:ext>
            </c:extLst>
          </c:dPt>
          <c:dPt>
            <c:idx val="17"/>
            <c:invertIfNegative val="0"/>
            <c:bubble3D val="0"/>
            <c:spPr>
              <a:solidFill>
                <a:srgbClr val="ED7D3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4-CE61-41E2-8BCA-8FF9323CF252}"/>
              </c:ext>
            </c:extLst>
          </c:dPt>
          <c:dPt>
            <c:idx val="18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6-CE61-41E2-8BCA-8FF9323CF252}"/>
              </c:ext>
            </c:extLst>
          </c:dPt>
          <c:dPt>
            <c:idx val="19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8-CE61-41E2-8BCA-8FF9323CF252}"/>
              </c:ext>
            </c:extLst>
          </c:dPt>
          <c:dPt>
            <c:idx val="20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A-CE61-41E2-8BCA-8FF9323CF252}"/>
              </c:ext>
            </c:extLst>
          </c:dPt>
          <c:dPt>
            <c:idx val="21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C-CE61-41E2-8BCA-8FF9323CF252}"/>
              </c:ext>
            </c:extLst>
          </c:dPt>
          <c:dPt>
            <c:idx val="22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8E-CE61-41E2-8BCA-8FF9323CF252}"/>
              </c:ext>
            </c:extLst>
          </c:dPt>
          <c:dPt>
            <c:idx val="23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0-CE61-41E2-8BCA-8FF9323CF252}"/>
              </c:ext>
            </c:extLst>
          </c:dPt>
          <c:dPt>
            <c:idx val="24"/>
            <c:invertIfNegative val="0"/>
            <c:bubble3D val="0"/>
            <c:spPr>
              <a:solidFill>
                <a:srgbClr val="70AD4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2-CE61-41E2-8BCA-8FF9323CF252}"/>
              </c:ext>
            </c:extLst>
          </c:dPt>
          <c:cat>
            <c:strRef>
              <c:f>Sammanfattning!$C$44:$C$68</c:f>
              <c:strCache>
                <c:ptCount val="25"/>
                <c:pt idx="0">
                  <c:v>25. Öppetider helg</c:v>
                </c:pt>
                <c:pt idx="1">
                  <c:v>24. Öppetider vardag</c:v>
                </c:pt>
                <c:pt idx="2">
                  <c:v>23. Turtäthet kvällar och helger</c:v>
                </c:pt>
                <c:pt idx="3">
                  <c:v>22. Turtäthet dagtid</c:v>
                </c:pt>
                <c:pt idx="4">
                  <c:v>21. Regularitetsstöd</c:v>
                </c:pt>
                <c:pt idx="5">
                  <c:v>20. Påstigning i alla dörrar</c:v>
                </c:pt>
                <c:pt idx="6">
                  <c:v>19. Realtidsinformation</c:v>
                </c:pt>
                <c:pt idx="7">
                  <c:v>18. Identitet</c:v>
                </c:pt>
                <c:pt idx="8">
                  <c:v>17. Utrustning på hållplatser</c:v>
                </c:pt>
                <c:pt idx="9">
                  <c:v>16. Hållplatstyper och plant insteg</c:v>
                </c:pt>
                <c:pt idx="10">
                  <c:v>15. Svängande trafik</c:v>
                </c:pt>
                <c:pt idx="11">
                  <c:v>14. Bussprioritet i korsningar</c:v>
                </c:pt>
                <c:pt idx="12">
                  <c:v>13. Farthinder</c:v>
                </c:pt>
                <c:pt idx="13">
                  <c:v>12. Gatuparkering</c:v>
                </c:pt>
                <c:pt idx="14">
                  <c:v>11. Utfarter i busskörfält</c:v>
                </c:pt>
                <c:pt idx="15">
                  <c:v>10. Annan användning av busskörfälten</c:v>
                </c:pt>
                <c:pt idx="16">
                  <c:v>9. Busskörfältens placering</c:v>
                </c:pt>
                <c:pt idx="17">
                  <c:v>8. Busskörfält eller bussgata</c:v>
                </c:pt>
                <c:pt idx="18">
                  <c:v>7. Anslutningar till hållplatser</c:v>
                </c:pt>
                <c:pt idx="19">
                  <c:v>6. Cykelstråk</c:v>
                </c:pt>
                <c:pt idx="20">
                  <c:v>5. Barriäreffekt</c:v>
                </c:pt>
                <c:pt idx="21">
                  <c:v>4. Tvära kurvor</c:v>
                </c:pt>
                <c:pt idx="22">
                  <c:v>3. Hållplatsavstånd</c:v>
                </c:pt>
                <c:pt idx="23">
                  <c:v>2. Genhet</c:v>
                </c:pt>
                <c:pt idx="24">
                  <c:v>1. Samplanering</c:v>
                </c:pt>
              </c:strCache>
            </c:strRef>
          </c:cat>
          <c:val>
            <c:numRef>
              <c:f>Sammanfattning!$D$44:$D$68</c:f>
              <c:numCache>
                <c:formatCode>General</c:formatCode>
                <c:ptCount val="25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3</c:v>
                </c:pt>
                <c:pt idx="4">
                  <c:v>0</c:v>
                </c:pt>
                <c:pt idx="5">
                  <c:v>9</c:v>
                </c:pt>
                <c:pt idx="6">
                  <c:v>4</c:v>
                </c:pt>
                <c:pt idx="7">
                  <c:v>2</c:v>
                </c:pt>
                <c:pt idx="8">
                  <c:v>2.8684210526315792</c:v>
                </c:pt>
                <c:pt idx="9">
                  <c:v>5.7368421052631575</c:v>
                </c:pt>
                <c:pt idx="10">
                  <c:v>0</c:v>
                </c:pt>
                <c:pt idx="11">
                  <c:v>3.5</c:v>
                </c:pt>
                <c:pt idx="12">
                  <c:v>3</c:v>
                </c:pt>
                <c:pt idx="13">
                  <c:v>0</c:v>
                </c:pt>
                <c:pt idx="14">
                  <c:v>1.4782835528890048</c:v>
                </c:pt>
                <c:pt idx="15">
                  <c:v>2.6153453989293909</c:v>
                </c:pt>
                <c:pt idx="16">
                  <c:v>1.3700273901134734</c:v>
                </c:pt>
                <c:pt idx="17">
                  <c:v>1.9846943138093203</c:v>
                </c:pt>
                <c:pt idx="18">
                  <c:v>0.57894736842105265</c:v>
                </c:pt>
                <c:pt idx="19">
                  <c:v>1</c:v>
                </c:pt>
                <c:pt idx="20">
                  <c:v>3</c:v>
                </c:pt>
                <c:pt idx="21">
                  <c:v>2.8</c:v>
                </c:pt>
                <c:pt idx="22">
                  <c:v>4.1578947368421053</c:v>
                </c:pt>
                <c:pt idx="23">
                  <c:v>1.5</c:v>
                </c:pt>
                <c:pt idx="24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93-CE61-41E2-8BCA-8FF9323CF252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6-CE61-41E2-8BCA-8FF9323CF252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8-CE61-41E2-8BCA-8FF9323CF252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A-CE61-41E2-8BCA-8FF9323CF252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C-CE61-41E2-8BCA-8FF9323CF252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9E-CE61-41E2-8BCA-8FF9323CF252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0-CE61-41E2-8BCA-8FF9323CF252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2-CE61-41E2-8BCA-8FF9323CF252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4-CE61-41E2-8BCA-8FF9323CF252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6-CE61-41E2-8BCA-8FF9323CF252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8-CE61-41E2-8BCA-8FF9323CF252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A-CE61-41E2-8BCA-8FF9323CF252}"/>
              </c:ext>
            </c:extLst>
          </c:dPt>
          <c:dPt>
            <c:idx val="11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C-CE61-41E2-8BCA-8FF9323CF252}"/>
              </c:ext>
            </c:extLst>
          </c:dPt>
          <c:dPt>
            <c:idx val="12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AE-CE61-41E2-8BCA-8FF9323CF252}"/>
              </c:ext>
            </c:extLst>
          </c:dPt>
          <c:dPt>
            <c:idx val="13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0-CE61-41E2-8BCA-8FF9323CF252}"/>
              </c:ext>
            </c:extLst>
          </c:dPt>
          <c:dPt>
            <c:idx val="14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2-CE61-41E2-8BCA-8FF9323CF252}"/>
              </c:ext>
            </c:extLst>
          </c:dPt>
          <c:dPt>
            <c:idx val="15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4-CE61-41E2-8BCA-8FF9323CF252}"/>
              </c:ext>
            </c:extLst>
          </c:dPt>
          <c:dPt>
            <c:idx val="16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6-CE61-41E2-8BCA-8FF9323CF252}"/>
              </c:ext>
            </c:extLst>
          </c:dPt>
          <c:dPt>
            <c:idx val="17"/>
            <c:invertIfNegative val="0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8-CE61-41E2-8BCA-8FF9323CF252}"/>
              </c:ext>
            </c:extLst>
          </c:dPt>
          <c:dPt>
            <c:idx val="18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A-CE61-41E2-8BCA-8FF9323CF252}"/>
              </c:ext>
            </c:extLst>
          </c:dPt>
          <c:dPt>
            <c:idx val="19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C-CE61-41E2-8BCA-8FF9323CF252}"/>
              </c:ext>
            </c:extLst>
          </c:dPt>
          <c:dPt>
            <c:idx val="20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BE-CE61-41E2-8BCA-8FF9323CF252}"/>
              </c:ext>
            </c:extLst>
          </c:dPt>
          <c:dPt>
            <c:idx val="21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C0-CE61-41E2-8BCA-8FF9323CF252}"/>
              </c:ext>
            </c:extLst>
          </c:dPt>
          <c:dPt>
            <c:idx val="22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C2-CE61-41E2-8BCA-8FF9323CF252}"/>
              </c:ext>
            </c:extLst>
          </c:dPt>
          <c:dPt>
            <c:idx val="23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C4-CE61-41E2-8BCA-8FF9323CF252}"/>
              </c:ext>
            </c:extLst>
          </c:dPt>
          <c:dPt>
            <c:idx val="24"/>
            <c:invertIfNegative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C6-CE61-41E2-8BCA-8FF9323CF252}"/>
              </c:ext>
            </c:extLst>
          </c:dPt>
          <c:cat>
            <c:strRef>
              <c:f>Sammanfattning!$C$44:$C$68</c:f>
              <c:strCache>
                <c:ptCount val="25"/>
                <c:pt idx="0">
                  <c:v>25. Öppetider helg</c:v>
                </c:pt>
                <c:pt idx="1">
                  <c:v>24. Öppetider vardag</c:v>
                </c:pt>
                <c:pt idx="2">
                  <c:v>23. Turtäthet kvällar och helger</c:v>
                </c:pt>
                <c:pt idx="3">
                  <c:v>22. Turtäthet dagtid</c:v>
                </c:pt>
                <c:pt idx="4">
                  <c:v>21. Regularitetsstöd</c:v>
                </c:pt>
                <c:pt idx="5">
                  <c:v>20. Påstigning i alla dörrar</c:v>
                </c:pt>
                <c:pt idx="6">
                  <c:v>19. Realtidsinformation</c:v>
                </c:pt>
                <c:pt idx="7">
                  <c:v>18. Identitet</c:v>
                </c:pt>
                <c:pt idx="8">
                  <c:v>17. Utrustning på hållplatser</c:v>
                </c:pt>
                <c:pt idx="9">
                  <c:v>16. Hållplatstyper och plant insteg</c:v>
                </c:pt>
                <c:pt idx="10">
                  <c:v>15. Svängande trafik</c:v>
                </c:pt>
                <c:pt idx="11">
                  <c:v>14. Bussprioritet i korsningar</c:v>
                </c:pt>
                <c:pt idx="12">
                  <c:v>13. Farthinder</c:v>
                </c:pt>
                <c:pt idx="13">
                  <c:v>12. Gatuparkering</c:v>
                </c:pt>
                <c:pt idx="14">
                  <c:v>11. Utfarter i busskörfält</c:v>
                </c:pt>
                <c:pt idx="15">
                  <c:v>10. Annan användning av busskörfälten</c:v>
                </c:pt>
                <c:pt idx="16">
                  <c:v>9. Busskörfältens placering</c:v>
                </c:pt>
                <c:pt idx="17">
                  <c:v>8. Busskörfält eller bussgata</c:v>
                </c:pt>
                <c:pt idx="18">
                  <c:v>7. Anslutningar till hållplatser</c:v>
                </c:pt>
                <c:pt idx="19">
                  <c:v>6. Cykelstråk</c:v>
                </c:pt>
                <c:pt idx="20">
                  <c:v>5. Barriäreffekt</c:v>
                </c:pt>
                <c:pt idx="21">
                  <c:v>4. Tvära kurvor</c:v>
                </c:pt>
                <c:pt idx="22">
                  <c:v>3. Hållplatsavstånd</c:v>
                </c:pt>
                <c:pt idx="23">
                  <c:v>2. Genhet</c:v>
                </c:pt>
                <c:pt idx="24">
                  <c:v>1. Samplanering</c:v>
                </c:pt>
              </c:strCache>
            </c:strRef>
          </c:cat>
          <c:val>
            <c:numRef>
              <c:f>Sammanfattning!$E$44:$E$68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1</c:v>
                </c:pt>
                <c:pt idx="4">
                  <c:v>2</c:v>
                </c:pt>
                <c:pt idx="5">
                  <c:v>1</c:v>
                </c:pt>
                <c:pt idx="6">
                  <c:v>0</c:v>
                </c:pt>
                <c:pt idx="7">
                  <c:v>2</c:v>
                </c:pt>
                <c:pt idx="8">
                  <c:v>0.1315789473684208</c:v>
                </c:pt>
                <c:pt idx="9">
                  <c:v>4.2631578947368425</c:v>
                </c:pt>
                <c:pt idx="10">
                  <c:v>3</c:v>
                </c:pt>
                <c:pt idx="11">
                  <c:v>3.5</c:v>
                </c:pt>
                <c:pt idx="12">
                  <c:v>0</c:v>
                </c:pt>
                <c:pt idx="13">
                  <c:v>3</c:v>
                </c:pt>
                <c:pt idx="14">
                  <c:v>0.52171644711099519</c:v>
                </c:pt>
                <c:pt idx="15">
                  <c:v>0.38465460107060911</c:v>
                </c:pt>
                <c:pt idx="16">
                  <c:v>2.6299726098865266</c:v>
                </c:pt>
                <c:pt idx="17">
                  <c:v>6.01530568619068</c:v>
                </c:pt>
                <c:pt idx="18">
                  <c:v>1.4210526315789473</c:v>
                </c:pt>
                <c:pt idx="19">
                  <c:v>1</c:v>
                </c:pt>
                <c:pt idx="20">
                  <c:v>0</c:v>
                </c:pt>
                <c:pt idx="21">
                  <c:v>0.20000000000000018</c:v>
                </c:pt>
                <c:pt idx="22">
                  <c:v>0.84210526315789469</c:v>
                </c:pt>
                <c:pt idx="23">
                  <c:v>1.5</c:v>
                </c:pt>
                <c:pt idx="2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C7-CE61-41E2-8BCA-8FF9323CF2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540655215"/>
        <c:axId val="1540657135"/>
      </c:barChart>
      <c:catAx>
        <c:axId val="15406552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sv-SE"/>
          </a:p>
        </c:txPr>
        <c:crossAx val="1540657135"/>
        <c:crosses val="autoZero"/>
        <c:auto val="1"/>
        <c:lblAlgn val="ctr"/>
        <c:lblOffset val="100"/>
        <c:noMultiLvlLbl val="0"/>
      </c:catAx>
      <c:valAx>
        <c:axId val="1540657135"/>
        <c:scaling>
          <c:orientation val="minMax"/>
          <c:max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1540655215"/>
        <c:crosses val="autoZero"/>
        <c:crossBetween val="between"/>
      </c:valAx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66676</xdr:colOff>
      <xdr:row>19</xdr:row>
      <xdr:rowOff>66676</xdr:rowOff>
    </xdr:from>
    <xdr:to>
      <xdr:col>11</xdr:col>
      <xdr:colOff>1695450</xdr:colOff>
      <xdr:row>32</xdr:row>
      <xdr:rowOff>182176</xdr:rowOff>
    </xdr:to>
    <xdr:graphicFrame macro="">
      <xdr:nvGraphicFramePr>
        <xdr:cNvPr id="2" name="Diagram 1">
          <a:extLst>
            <a:ext uri="{FF2B5EF4-FFF2-40B4-BE49-F238E27FC236}">
              <a16:creationId xmlns:a16="http://schemas.microsoft.com/office/drawing/2014/main" id="{7C1C685E-9A7D-407A-9D7E-C61806AD38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171449</xdr:colOff>
      <xdr:row>41</xdr:row>
      <xdr:rowOff>185736</xdr:rowOff>
    </xdr:from>
    <xdr:to>
      <xdr:col>7</xdr:col>
      <xdr:colOff>466725</xdr:colOff>
      <xdr:row>68</xdr:row>
      <xdr:rowOff>19049</xdr:rowOff>
    </xdr:to>
    <xdr:graphicFrame macro="">
      <xdr:nvGraphicFramePr>
        <xdr:cNvPr id="3" name="Diagram 2">
          <a:extLst>
            <a:ext uri="{FF2B5EF4-FFF2-40B4-BE49-F238E27FC236}">
              <a16:creationId xmlns:a16="http://schemas.microsoft.com/office/drawing/2014/main" id="{91A45B78-25AE-260D-003D-EC3D8975A72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74</xdr:row>
      <xdr:rowOff>140700</xdr:rowOff>
    </xdr:from>
    <xdr:to>
      <xdr:col>13</xdr:col>
      <xdr:colOff>171451</xdr:colOff>
      <xdr:row>87</xdr:row>
      <xdr:rowOff>20042</xdr:rowOff>
    </xdr:to>
    <xdr:pic>
      <xdr:nvPicPr>
        <xdr:cNvPr id="2" name="Bildobjekt 1">
          <a:extLst>
            <a:ext uri="{FF2B5EF4-FFF2-40B4-BE49-F238E27FC236}">
              <a16:creationId xmlns:a16="http://schemas.microsoft.com/office/drawing/2014/main" id="{1F48D78D-17AE-E7AA-59B1-62D308645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10550" y="15818850"/>
          <a:ext cx="2609850" cy="253872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9526</xdr:colOff>
      <xdr:row>70</xdr:row>
      <xdr:rowOff>171449</xdr:rowOff>
    </xdr:from>
    <xdr:to>
      <xdr:col>17</xdr:col>
      <xdr:colOff>98517</xdr:colOff>
      <xdr:row>87</xdr:row>
      <xdr:rowOff>19760</xdr:rowOff>
    </xdr:to>
    <xdr:pic>
      <xdr:nvPicPr>
        <xdr:cNvPr id="3" name="Bildobjekt 2">
          <a:extLst>
            <a:ext uri="{FF2B5EF4-FFF2-40B4-BE49-F238E27FC236}">
              <a16:creationId xmlns:a16="http://schemas.microsoft.com/office/drawing/2014/main" id="{D11BD223-EC15-43D7-2AE0-5E5A8C04F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68076" y="15087599"/>
          <a:ext cx="1923506" cy="3277311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48</xdr:row>
      <xdr:rowOff>158926</xdr:rowOff>
    </xdr:from>
    <xdr:to>
      <xdr:col>13</xdr:col>
      <xdr:colOff>1120140</xdr:colOff>
      <xdr:row>58</xdr:row>
      <xdr:rowOff>15733</xdr:rowOff>
    </xdr:to>
    <xdr:pic>
      <xdr:nvPicPr>
        <xdr:cNvPr id="4" name="Bildobjekt 3">
          <a:extLst>
            <a:ext uri="{FF2B5EF4-FFF2-40B4-BE49-F238E27FC236}">
              <a16:creationId xmlns:a16="http://schemas.microsoft.com/office/drawing/2014/main" id="{F522AB90-3891-0E66-147C-197379861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39275" y="10884076"/>
          <a:ext cx="2324100" cy="1756092"/>
        </a:xfrm>
        <a:prstGeom prst="rect">
          <a:avLst/>
        </a:prstGeom>
      </xdr:spPr>
    </xdr:pic>
    <xdr:clientData/>
  </xdr:twoCellAnchor>
  <xdr:twoCellAnchor editAs="oneCell">
    <xdr:from>
      <xdr:col>18</xdr:col>
      <xdr:colOff>19050</xdr:colOff>
      <xdr:row>77</xdr:row>
      <xdr:rowOff>28574</xdr:rowOff>
    </xdr:from>
    <xdr:to>
      <xdr:col>21</xdr:col>
      <xdr:colOff>207672</xdr:colOff>
      <xdr:row>87</xdr:row>
      <xdr:rowOff>2669</xdr:rowOff>
    </xdr:to>
    <xdr:pic>
      <xdr:nvPicPr>
        <xdr:cNvPr id="5" name="Bildobjekt 4">
          <a:extLst>
            <a:ext uri="{FF2B5EF4-FFF2-40B4-BE49-F238E27FC236}">
              <a16:creationId xmlns:a16="http://schemas.microsoft.com/office/drawing/2014/main" id="{8CCC1B70-9C2D-D10F-DBCE-83E4DBDDD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0" y="16278224"/>
          <a:ext cx="2032662" cy="2057835"/>
        </a:xfrm>
        <a:prstGeom prst="rect">
          <a:avLst/>
        </a:prstGeom>
      </xdr:spPr>
    </xdr:pic>
    <xdr:clientData/>
  </xdr:twoCellAnchor>
  <xdr:twoCellAnchor editAs="oneCell">
    <xdr:from>
      <xdr:col>22</xdr:col>
      <xdr:colOff>9525</xdr:colOff>
      <xdr:row>74</xdr:row>
      <xdr:rowOff>180723</xdr:rowOff>
    </xdr:from>
    <xdr:to>
      <xdr:col>25</xdr:col>
      <xdr:colOff>360045</xdr:colOff>
      <xdr:row>86</xdr:row>
      <xdr:rowOff>168446</xdr:rowOff>
    </xdr:to>
    <xdr:pic>
      <xdr:nvPicPr>
        <xdr:cNvPr id="6" name="Bildobjekt 5">
          <a:extLst>
            <a:ext uri="{FF2B5EF4-FFF2-40B4-BE49-F238E27FC236}">
              <a16:creationId xmlns:a16="http://schemas.microsoft.com/office/drawing/2014/main" id="{05C03697-00CC-C0DB-FFE1-C781C83AD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144875" y="15858873"/>
          <a:ext cx="2190750" cy="2458508"/>
        </a:xfrm>
        <a:prstGeom prst="rect">
          <a:avLst/>
        </a:prstGeom>
      </xdr:spPr>
    </xdr:pic>
    <xdr:clientData/>
  </xdr:twoCellAnchor>
  <xdr:twoCellAnchor editAs="oneCell">
    <xdr:from>
      <xdr:col>26</xdr:col>
      <xdr:colOff>38100</xdr:colOff>
      <xdr:row>76</xdr:row>
      <xdr:rowOff>84102</xdr:rowOff>
    </xdr:from>
    <xdr:to>
      <xdr:col>32</xdr:col>
      <xdr:colOff>19050</xdr:colOff>
      <xdr:row>86</xdr:row>
      <xdr:rowOff>95737</xdr:rowOff>
    </xdr:to>
    <xdr:pic>
      <xdr:nvPicPr>
        <xdr:cNvPr id="7" name="Bildobjekt 6">
          <a:extLst>
            <a:ext uri="{FF2B5EF4-FFF2-40B4-BE49-F238E27FC236}">
              <a16:creationId xmlns:a16="http://schemas.microsoft.com/office/drawing/2014/main" id="{88C6C8B3-89FF-71AE-B1F2-A416A2D3E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611850" y="16143252"/>
          <a:ext cx="3638550" cy="2107135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</xdr:colOff>
      <xdr:row>45</xdr:row>
      <xdr:rowOff>180975</xdr:rowOff>
    </xdr:from>
    <xdr:to>
      <xdr:col>20</xdr:col>
      <xdr:colOff>16743</xdr:colOff>
      <xdr:row>58</xdr:row>
      <xdr:rowOff>328</xdr:rowOff>
    </xdr:to>
    <xdr:pic>
      <xdr:nvPicPr>
        <xdr:cNvPr id="8" name="Bildobjekt 7">
          <a:extLst>
            <a:ext uri="{FF2B5EF4-FFF2-40B4-BE49-F238E27FC236}">
              <a16:creationId xmlns:a16="http://schemas.microsoft.com/office/drawing/2014/main" id="{A7ED0C5F-F6FA-EA98-2389-6353A3C4C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87275" y="10334625"/>
          <a:ext cx="2436093" cy="2287061"/>
        </a:xfrm>
        <a:prstGeom prst="rect">
          <a:avLst/>
        </a:prstGeom>
      </xdr:spPr>
    </xdr:pic>
    <xdr:clientData/>
  </xdr:twoCellAnchor>
  <xdr:twoCellAnchor editAs="oneCell">
    <xdr:from>
      <xdr:col>9</xdr:col>
      <xdr:colOff>38101</xdr:colOff>
      <xdr:row>95</xdr:row>
      <xdr:rowOff>95249</xdr:rowOff>
    </xdr:from>
    <xdr:to>
      <xdr:col>12</xdr:col>
      <xdr:colOff>361381</xdr:colOff>
      <xdr:row>98</xdr:row>
      <xdr:rowOff>1520</xdr:rowOff>
    </xdr:to>
    <xdr:pic>
      <xdr:nvPicPr>
        <xdr:cNvPr id="9" name="Bildobjekt 8">
          <a:extLst>
            <a:ext uri="{FF2B5EF4-FFF2-40B4-BE49-F238E27FC236}">
              <a16:creationId xmlns:a16="http://schemas.microsoft.com/office/drawing/2014/main" id="{0EC8A6F4-8407-0E8C-AE88-BBB20C150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8651" y="19964399"/>
          <a:ext cx="2152080" cy="1972463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</xdr:colOff>
      <xdr:row>94</xdr:row>
      <xdr:rowOff>171451</xdr:rowOff>
    </xdr:from>
    <xdr:to>
      <xdr:col>19</xdr:col>
      <xdr:colOff>477006</xdr:colOff>
      <xdr:row>97</xdr:row>
      <xdr:rowOff>704851</xdr:rowOff>
    </xdr:to>
    <xdr:pic>
      <xdr:nvPicPr>
        <xdr:cNvPr id="11" name="Bildobjekt 10">
          <a:extLst>
            <a:ext uri="{FF2B5EF4-FFF2-40B4-BE49-F238E27FC236}">
              <a16:creationId xmlns:a16="http://schemas.microsoft.com/office/drawing/2014/main" id="{E3403174-D376-16CF-DA37-5ECCF89F6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487275" y="19850101"/>
          <a:ext cx="2284851" cy="2057400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</xdr:colOff>
      <xdr:row>102</xdr:row>
      <xdr:rowOff>76200</xdr:rowOff>
    </xdr:from>
    <xdr:to>
      <xdr:col>11</xdr:col>
      <xdr:colOff>517007</xdr:colOff>
      <xdr:row>107</xdr:row>
      <xdr:rowOff>15933</xdr:rowOff>
    </xdr:to>
    <xdr:pic>
      <xdr:nvPicPr>
        <xdr:cNvPr id="12" name="Bildobjekt 11">
          <a:extLst>
            <a:ext uri="{FF2B5EF4-FFF2-40B4-BE49-F238E27FC236}">
              <a16:creationId xmlns:a16="http://schemas.microsoft.com/office/drawing/2014/main" id="{56E7C596-8711-09D8-4FDA-C6A892C46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29600" y="23183850"/>
          <a:ext cx="1726681" cy="2220018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101</xdr:row>
      <xdr:rowOff>171449</xdr:rowOff>
    </xdr:from>
    <xdr:to>
      <xdr:col>14</xdr:col>
      <xdr:colOff>429685</xdr:colOff>
      <xdr:row>106</xdr:row>
      <xdr:rowOff>512984</xdr:rowOff>
    </xdr:to>
    <xdr:pic>
      <xdr:nvPicPr>
        <xdr:cNvPr id="13" name="Bildobjekt 12">
          <a:extLst>
            <a:ext uri="{FF2B5EF4-FFF2-40B4-BE49-F238E27FC236}">
              <a16:creationId xmlns:a16="http://schemas.microsoft.com/office/drawing/2014/main" id="{6188CC14-0935-CFA8-79AE-3474196AF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34600" y="23088599"/>
          <a:ext cx="2341387" cy="2257965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</xdr:colOff>
      <xdr:row>45</xdr:row>
      <xdr:rowOff>135070</xdr:rowOff>
    </xdr:from>
    <xdr:to>
      <xdr:col>24</xdr:col>
      <xdr:colOff>588645</xdr:colOff>
      <xdr:row>57</xdr:row>
      <xdr:rowOff>168132</xdr:rowOff>
    </xdr:to>
    <xdr:pic>
      <xdr:nvPicPr>
        <xdr:cNvPr id="14" name="Bildobjekt 13">
          <a:extLst>
            <a:ext uri="{FF2B5EF4-FFF2-40B4-BE49-F238E27FC236}">
              <a16:creationId xmlns:a16="http://schemas.microsoft.com/office/drawing/2014/main" id="{623B1B03-7801-59D5-AD58-ADEC01F52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535275" y="10288720"/>
          <a:ext cx="2419350" cy="231334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37</xdr:row>
      <xdr:rowOff>33178</xdr:rowOff>
    </xdr:from>
    <xdr:to>
      <xdr:col>14</xdr:col>
      <xdr:colOff>180622</xdr:colOff>
      <xdr:row>44</xdr:row>
      <xdr:rowOff>116394</xdr:rowOff>
    </xdr:to>
    <xdr:pic>
      <xdr:nvPicPr>
        <xdr:cNvPr id="15" name="Bildobjekt 14">
          <a:extLst>
            <a:ext uri="{FF2B5EF4-FFF2-40B4-BE49-F238E27FC236}">
              <a16:creationId xmlns:a16="http://schemas.microsoft.com/office/drawing/2014/main" id="{573A270C-1849-A327-A606-791848685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419167" y="8155886"/>
          <a:ext cx="2795764" cy="2058772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N68"/>
  <sheetViews>
    <sheetView workbookViewId="0">
      <selection activeCell="M28" sqref="M28"/>
    </sheetView>
  </sheetViews>
  <sheetFormatPr defaultRowHeight="15" x14ac:dyDescent="0.25"/>
  <cols>
    <col min="3" max="3" width="39.28515625" customWidth="1"/>
    <col min="4" max="4" width="14.42578125" customWidth="1"/>
    <col min="12" max="12" width="31.42578125" customWidth="1"/>
    <col min="13" max="13" width="10.42578125" customWidth="1"/>
  </cols>
  <sheetData>
    <row r="2" spans="2:14" x14ac:dyDescent="0.25">
      <c r="C2" t="s">
        <v>78</v>
      </c>
    </row>
    <row r="3" spans="2:14" x14ac:dyDescent="0.25">
      <c r="B3" s="31" t="s">
        <v>0</v>
      </c>
      <c r="C3" s="32"/>
      <c r="D3" s="32"/>
      <c r="E3" s="33"/>
    </row>
    <row r="4" spans="2:14" x14ac:dyDescent="0.25">
      <c r="B4" s="17"/>
      <c r="C4" s="16" t="s">
        <v>188</v>
      </c>
      <c r="D4" s="16" t="s">
        <v>31</v>
      </c>
      <c r="E4" s="16" t="s">
        <v>187</v>
      </c>
      <c r="L4" t="s">
        <v>0</v>
      </c>
      <c r="M4" s="8">
        <f>D12</f>
        <v>15.036842105263158</v>
      </c>
      <c r="N4" s="5">
        <f>M4/SUM($M$4:$M$7)</f>
        <v>0.23280284821249261</v>
      </c>
    </row>
    <row r="5" spans="2:14" x14ac:dyDescent="0.25">
      <c r="B5" s="18"/>
      <c r="C5" t="s">
        <v>1</v>
      </c>
      <c r="D5" s="1">
        <f>'Stadens utformning'!F6</f>
        <v>2</v>
      </c>
      <c r="E5" s="1">
        <v>2</v>
      </c>
      <c r="L5" t="s">
        <v>13</v>
      </c>
      <c r="M5" s="8">
        <f>D25</f>
        <v>22.553613813635923</v>
      </c>
      <c r="N5" s="5">
        <f>M5/SUM($M$4:$M$7)</f>
        <v>0.34917873690123258</v>
      </c>
    </row>
    <row r="6" spans="2:14" x14ac:dyDescent="0.25">
      <c r="B6" s="18"/>
      <c r="C6" s="1" t="s">
        <v>2</v>
      </c>
      <c r="D6" s="12">
        <f>SUM('Stadens utformning'!F9:F12)</f>
        <v>1.5</v>
      </c>
      <c r="E6" s="1">
        <v>3</v>
      </c>
      <c r="L6" t="s">
        <v>8</v>
      </c>
      <c r="M6">
        <f>D32</f>
        <v>15</v>
      </c>
      <c r="N6" s="5">
        <f>M6/SUM($M$4:$M$7)</f>
        <v>0.23223245271459711</v>
      </c>
    </row>
    <row r="7" spans="2:14" x14ac:dyDescent="0.25">
      <c r="B7" s="18"/>
      <c r="C7" s="1" t="s">
        <v>3</v>
      </c>
      <c r="D7" s="12">
        <f>'Stadens utformning'!G22</f>
        <v>4.1578947368421053</v>
      </c>
      <c r="E7" s="1">
        <v>5</v>
      </c>
      <c r="L7" t="s">
        <v>24</v>
      </c>
      <c r="M7">
        <f>D39</f>
        <v>12</v>
      </c>
      <c r="N7" s="5">
        <f>M7/SUM($M$4:$M$7)</f>
        <v>0.1857859621716777</v>
      </c>
    </row>
    <row r="8" spans="2:14" x14ac:dyDescent="0.25">
      <c r="B8" s="18"/>
      <c r="C8" s="1" t="s">
        <v>4</v>
      </c>
      <c r="D8" s="12">
        <f>'Stadens utformning'!G44</f>
        <v>2.8</v>
      </c>
      <c r="E8" s="1">
        <v>3</v>
      </c>
    </row>
    <row r="9" spans="2:14" x14ac:dyDescent="0.25">
      <c r="B9" s="18"/>
      <c r="C9" s="1" t="s">
        <v>5</v>
      </c>
      <c r="D9" s="12">
        <f>'Stadens utformning'!G49</f>
        <v>3</v>
      </c>
      <c r="E9" s="1">
        <v>3</v>
      </c>
    </row>
    <row r="10" spans="2:14" x14ac:dyDescent="0.25">
      <c r="B10" s="18"/>
      <c r="C10" s="1" t="s">
        <v>6</v>
      </c>
      <c r="D10" s="12">
        <f>'Stadens utformning'!G55</f>
        <v>1</v>
      </c>
      <c r="E10" s="1">
        <v>2</v>
      </c>
      <c r="L10" t="s">
        <v>0</v>
      </c>
      <c r="M10" s="30">
        <f>D12</f>
        <v>15.036842105263158</v>
      </c>
    </row>
    <row r="11" spans="2:14" x14ac:dyDescent="0.25">
      <c r="B11" s="18"/>
      <c r="C11" s="1" t="s">
        <v>7</v>
      </c>
      <c r="D11" s="12">
        <f>'Stadens utformning'!G60</f>
        <v>0.57894736842105265</v>
      </c>
      <c r="E11" s="1">
        <v>2</v>
      </c>
      <c r="L11" t="s">
        <v>189</v>
      </c>
      <c r="M11" s="30">
        <f>E12-M10</f>
        <v>4.9631578947368418</v>
      </c>
    </row>
    <row r="12" spans="2:14" x14ac:dyDescent="0.25">
      <c r="B12" s="19"/>
      <c r="C12" s="1" t="s">
        <v>77</v>
      </c>
      <c r="D12" s="12">
        <f>SUM(D5:D11)</f>
        <v>15.036842105263158</v>
      </c>
      <c r="E12" s="12">
        <f>SUM(E5:E11)</f>
        <v>20</v>
      </c>
      <c r="F12">
        <f>D12/E12</f>
        <v>0.75184210526315787</v>
      </c>
      <c r="L12" t="s">
        <v>13</v>
      </c>
      <c r="M12" s="30">
        <f>D25</f>
        <v>22.553613813635923</v>
      </c>
    </row>
    <row r="13" spans="2:14" x14ac:dyDescent="0.25">
      <c r="B13" s="31" t="s">
        <v>13</v>
      </c>
      <c r="C13" s="32"/>
      <c r="D13" s="32"/>
      <c r="E13" s="33"/>
      <c r="L13" t="s">
        <v>190</v>
      </c>
      <c r="M13" s="30">
        <f>E25-D25</f>
        <v>23.446386186364077</v>
      </c>
    </row>
    <row r="14" spans="2:14" x14ac:dyDescent="0.25">
      <c r="B14" s="20"/>
      <c r="C14" s="16" t="s">
        <v>188</v>
      </c>
      <c r="D14" s="16" t="s">
        <v>31</v>
      </c>
      <c r="E14" s="16" t="s">
        <v>187</v>
      </c>
      <c r="L14" t="s">
        <v>8</v>
      </c>
      <c r="M14" s="30">
        <f>D32</f>
        <v>15</v>
      </c>
    </row>
    <row r="15" spans="2:14" x14ac:dyDescent="0.25">
      <c r="B15" s="21"/>
      <c r="C15" s="1" t="s">
        <v>14</v>
      </c>
      <c r="D15" s="12">
        <f>'Kollektivtrafikens infrastruktu'!F9</f>
        <v>1.9846943138093203</v>
      </c>
      <c r="E15" s="1">
        <v>8</v>
      </c>
      <c r="L15" t="s">
        <v>191</v>
      </c>
      <c r="M15" s="30">
        <f>E32-D32</f>
        <v>5</v>
      </c>
    </row>
    <row r="16" spans="2:14" x14ac:dyDescent="0.25">
      <c r="B16" s="21"/>
      <c r="C16" s="1" t="s">
        <v>15</v>
      </c>
      <c r="D16" s="12">
        <f>'Kollektivtrafikens infrastruktu'!G44</f>
        <v>1.3700273901134734</v>
      </c>
      <c r="E16" s="1">
        <v>4</v>
      </c>
      <c r="L16" t="s">
        <v>24</v>
      </c>
      <c r="M16" s="30">
        <f>D39</f>
        <v>12</v>
      </c>
    </row>
    <row r="17" spans="2:13" x14ac:dyDescent="0.25">
      <c r="B17" s="21"/>
      <c r="C17" s="1" t="s">
        <v>16</v>
      </c>
      <c r="D17" s="12">
        <f>'Kollektivtrafikens infrastruktu'!G51</f>
        <v>2.6153453989293909</v>
      </c>
      <c r="E17" s="1">
        <v>3</v>
      </c>
      <c r="L17" t="s">
        <v>192</v>
      </c>
      <c r="M17" s="30">
        <f>E39-D39</f>
        <v>2</v>
      </c>
    </row>
    <row r="18" spans="2:13" x14ac:dyDescent="0.25">
      <c r="B18" s="21"/>
      <c r="C18" s="1" t="s">
        <v>17</v>
      </c>
      <c r="D18" s="12">
        <f>'Kollektivtrafikens infrastruktu'!G58</f>
        <v>1.4782835528890048</v>
      </c>
      <c r="E18" s="1">
        <v>2</v>
      </c>
      <c r="F18">
        <v>0</v>
      </c>
    </row>
    <row r="19" spans="2:13" x14ac:dyDescent="0.25">
      <c r="B19" s="21"/>
      <c r="C19" s="1" t="s">
        <v>18</v>
      </c>
      <c r="D19" s="12">
        <f>'Kollektivtrafikens infrastruktu'!G66</f>
        <v>0</v>
      </c>
      <c r="E19" s="1">
        <v>3</v>
      </c>
    </row>
    <row r="20" spans="2:13" x14ac:dyDescent="0.25">
      <c r="B20" s="21"/>
      <c r="C20" s="1" t="s">
        <v>19</v>
      </c>
      <c r="D20" s="12">
        <f>'Kollektivtrafikens infrastruktu'!G73</f>
        <v>3</v>
      </c>
      <c r="E20" s="1">
        <v>3</v>
      </c>
    </row>
    <row r="21" spans="2:13" x14ac:dyDescent="0.25">
      <c r="B21" s="21"/>
      <c r="C21" t="s">
        <v>20</v>
      </c>
      <c r="D21" s="12">
        <f>'Kollektivtrafikens infrastruktu'!F79</f>
        <v>3.5</v>
      </c>
      <c r="E21" s="1">
        <v>7</v>
      </c>
    </row>
    <row r="22" spans="2:13" x14ac:dyDescent="0.25">
      <c r="B22" s="21"/>
      <c r="C22" s="1" t="s">
        <v>21</v>
      </c>
      <c r="D22" s="12">
        <f>'Kollektivtrafikens infrastruktu'!G87</f>
        <v>0</v>
      </c>
      <c r="E22" s="1">
        <v>3</v>
      </c>
      <c r="F22">
        <v>0.4</v>
      </c>
    </row>
    <row r="23" spans="2:13" x14ac:dyDescent="0.25">
      <c r="B23" s="21"/>
      <c r="C23" s="1" t="s">
        <v>22</v>
      </c>
      <c r="D23" s="12">
        <f>'Kollektivtrafikens infrastruktu'!G101</f>
        <v>5.7368421052631575</v>
      </c>
      <c r="E23" s="1">
        <v>10</v>
      </c>
    </row>
    <row r="24" spans="2:13" x14ac:dyDescent="0.25">
      <c r="B24" s="21"/>
      <c r="C24" s="1" t="s">
        <v>23</v>
      </c>
      <c r="D24" s="12">
        <f>'Kollektivtrafikens infrastruktu'!G109</f>
        <v>2.8684210526315792</v>
      </c>
      <c r="E24" s="1">
        <v>3</v>
      </c>
    </row>
    <row r="25" spans="2:13" x14ac:dyDescent="0.25">
      <c r="B25" s="22"/>
      <c r="C25" s="1" t="s">
        <v>77</v>
      </c>
      <c r="D25" s="12">
        <f>SUM(D15:D24)</f>
        <v>22.553613813635923</v>
      </c>
      <c r="E25" s="12">
        <f>SUM(E15:E24)</f>
        <v>46</v>
      </c>
      <c r="F25">
        <f>D25/E25</f>
        <v>0.49029595247034619</v>
      </c>
    </row>
    <row r="26" spans="2:13" x14ac:dyDescent="0.25">
      <c r="B26" s="31" t="s">
        <v>8</v>
      </c>
      <c r="C26" s="32"/>
      <c r="D26" s="32"/>
      <c r="E26" s="33"/>
    </row>
    <row r="27" spans="2:13" x14ac:dyDescent="0.25">
      <c r="B27" s="23"/>
      <c r="C27" s="16" t="s">
        <v>188</v>
      </c>
      <c r="D27" s="16" t="s">
        <v>31</v>
      </c>
      <c r="E27" s="16" t="s">
        <v>187</v>
      </c>
    </row>
    <row r="28" spans="2:13" x14ac:dyDescent="0.25">
      <c r="B28" s="24"/>
      <c r="C28" s="1" t="s">
        <v>9</v>
      </c>
      <c r="D28" s="12">
        <f>'Fordon och Stödsystem'!F7</f>
        <v>2</v>
      </c>
      <c r="E28" s="1">
        <v>4</v>
      </c>
    </row>
    <row r="29" spans="2:13" x14ac:dyDescent="0.25">
      <c r="B29" s="24"/>
      <c r="C29" s="1" t="s">
        <v>10</v>
      </c>
      <c r="D29" s="12">
        <f>'Fordon och Stödsystem'!F12</f>
        <v>4</v>
      </c>
      <c r="E29" s="1">
        <v>4</v>
      </c>
    </row>
    <row r="30" spans="2:13" x14ac:dyDescent="0.25">
      <c r="B30" s="24"/>
      <c r="C30" s="1" t="s">
        <v>11</v>
      </c>
      <c r="D30" s="12">
        <f>'Fordon och Stödsystem'!F17</f>
        <v>9</v>
      </c>
      <c r="E30" s="1">
        <v>10</v>
      </c>
    </row>
    <row r="31" spans="2:13" x14ac:dyDescent="0.25">
      <c r="B31" s="24"/>
      <c r="C31" t="s">
        <v>12</v>
      </c>
      <c r="D31" s="12">
        <f>'Fordon och Stödsystem'!F20</f>
        <v>0</v>
      </c>
      <c r="E31" s="1">
        <v>2</v>
      </c>
    </row>
    <row r="32" spans="2:13" x14ac:dyDescent="0.25">
      <c r="B32" s="25"/>
      <c r="C32" s="1" t="s">
        <v>77</v>
      </c>
      <c r="D32" s="12">
        <f>SUM(D28:D31)</f>
        <v>15</v>
      </c>
      <c r="E32" s="1">
        <f>SUM(E28:E31)</f>
        <v>20</v>
      </c>
      <c r="F32">
        <f>D32/E32</f>
        <v>0.75</v>
      </c>
    </row>
    <row r="33" spans="2:6" x14ac:dyDescent="0.25">
      <c r="B33" s="31" t="s">
        <v>24</v>
      </c>
      <c r="C33" s="32"/>
      <c r="D33" s="32"/>
      <c r="E33" s="33"/>
    </row>
    <row r="34" spans="2:6" x14ac:dyDescent="0.25">
      <c r="B34" s="26"/>
      <c r="C34" s="16" t="s">
        <v>188</v>
      </c>
      <c r="D34" s="16" t="s">
        <v>31</v>
      </c>
      <c r="E34" s="16" t="s">
        <v>187</v>
      </c>
    </row>
    <row r="35" spans="2:6" x14ac:dyDescent="0.25">
      <c r="B35" s="27"/>
      <c r="C35" s="1" t="s">
        <v>25</v>
      </c>
      <c r="D35" s="1">
        <f>Trafikering!F8</f>
        <v>3</v>
      </c>
      <c r="E35" s="1">
        <v>4</v>
      </c>
    </row>
    <row r="36" spans="2:6" x14ac:dyDescent="0.25">
      <c r="B36" s="27"/>
      <c r="C36" s="1" t="s">
        <v>26</v>
      </c>
      <c r="D36" s="1">
        <f>Trafikering!F15</f>
        <v>3</v>
      </c>
      <c r="E36" s="1">
        <v>4</v>
      </c>
    </row>
    <row r="37" spans="2:6" x14ac:dyDescent="0.25">
      <c r="B37" s="27"/>
      <c r="C37" s="1" t="s">
        <v>27</v>
      </c>
      <c r="D37" s="1">
        <f>Trafikering!F22</f>
        <v>3</v>
      </c>
      <c r="E37" s="1">
        <v>3</v>
      </c>
    </row>
    <row r="38" spans="2:6" x14ac:dyDescent="0.25">
      <c r="B38" s="27"/>
      <c r="C38" s="1" t="s">
        <v>28</v>
      </c>
      <c r="D38" s="1">
        <f>Trafikering!F29</f>
        <v>3</v>
      </c>
      <c r="E38" s="1">
        <v>3</v>
      </c>
    </row>
    <row r="39" spans="2:6" x14ac:dyDescent="0.25">
      <c r="B39" s="28"/>
      <c r="C39" s="1" t="s">
        <v>77</v>
      </c>
      <c r="D39" s="1">
        <f>SUM(D35:D38)</f>
        <v>12</v>
      </c>
      <c r="E39" s="1">
        <f>SUM(E35:E38)</f>
        <v>14</v>
      </c>
      <c r="F39">
        <f>D39/E39</f>
        <v>0.8571428571428571</v>
      </c>
    </row>
    <row r="40" spans="2:6" x14ac:dyDescent="0.25">
      <c r="B40" s="4"/>
      <c r="C40" s="29" t="s">
        <v>44</v>
      </c>
      <c r="D40" s="14">
        <f>SUM(D5:D11)+SUM(D28:D31)+SUM(D15:D24)+SUM(D35:D38)</f>
        <v>64.590455918899082</v>
      </c>
      <c r="E40" s="14">
        <f>SUM(E12+E25+E32+E39)</f>
        <v>100</v>
      </c>
    </row>
    <row r="42" spans="2:6" x14ac:dyDescent="0.25">
      <c r="D42">
        <v>62.7</v>
      </c>
    </row>
    <row r="43" spans="2:6" x14ac:dyDescent="0.25">
      <c r="C43" t="s">
        <v>194</v>
      </c>
      <c r="D43" t="s">
        <v>195</v>
      </c>
      <c r="E43" t="s">
        <v>196</v>
      </c>
      <c r="F43" t="s">
        <v>222</v>
      </c>
    </row>
    <row r="44" spans="2:6" x14ac:dyDescent="0.25">
      <c r="C44" t="s">
        <v>197</v>
      </c>
      <c r="D44">
        <f>D38</f>
        <v>3</v>
      </c>
      <c r="E44">
        <f>F44-D44</f>
        <v>0</v>
      </c>
      <c r="F44">
        <f>E38</f>
        <v>3</v>
      </c>
    </row>
    <row r="45" spans="2:6" x14ac:dyDescent="0.25">
      <c r="C45" t="s">
        <v>198</v>
      </c>
      <c r="D45">
        <f>D37</f>
        <v>3</v>
      </c>
      <c r="E45">
        <f t="shared" ref="E45:E68" si="0">F45-D45</f>
        <v>0</v>
      </c>
      <c r="F45">
        <f>E37</f>
        <v>3</v>
      </c>
    </row>
    <row r="46" spans="2:6" x14ac:dyDescent="0.25">
      <c r="C46" t="s">
        <v>199</v>
      </c>
      <c r="D46">
        <f>D36</f>
        <v>3</v>
      </c>
      <c r="E46">
        <f t="shared" si="0"/>
        <v>1</v>
      </c>
      <c r="F46">
        <f>E36</f>
        <v>4</v>
      </c>
    </row>
    <row r="47" spans="2:6" x14ac:dyDescent="0.25">
      <c r="C47" t="s">
        <v>200</v>
      </c>
      <c r="D47">
        <f>D35</f>
        <v>3</v>
      </c>
      <c r="E47">
        <f t="shared" si="0"/>
        <v>1</v>
      </c>
      <c r="F47">
        <f>E35</f>
        <v>4</v>
      </c>
    </row>
    <row r="48" spans="2:6" x14ac:dyDescent="0.25">
      <c r="C48" t="s">
        <v>201</v>
      </c>
      <c r="D48">
        <f>D31</f>
        <v>0</v>
      </c>
      <c r="E48">
        <f t="shared" si="0"/>
        <v>2</v>
      </c>
      <c r="F48">
        <f>E31</f>
        <v>2</v>
      </c>
    </row>
    <row r="49" spans="3:6" x14ac:dyDescent="0.25">
      <c r="C49" t="s">
        <v>202</v>
      </c>
      <c r="D49">
        <f>D30</f>
        <v>9</v>
      </c>
      <c r="E49">
        <f t="shared" si="0"/>
        <v>1</v>
      </c>
      <c r="F49">
        <f>E30</f>
        <v>10</v>
      </c>
    </row>
    <row r="50" spans="3:6" x14ac:dyDescent="0.25">
      <c r="C50" t="s">
        <v>203</v>
      </c>
      <c r="D50">
        <f>D29</f>
        <v>4</v>
      </c>
      <c r="E50">
        <f t="shared" si="0"/>
        <v>0</v>
      </c>
      <c r="F50">
        <f>E29</f>
        <v>4</v>
      </c>
    </row>
    <row r="51" spans="3:6" x14ac:dyDescent="0.25">
      <c r="C51" t="s">
        <v>204</v>
      </c>
      <c r="D51">
        <f>D28</f>
        <v>2</v>
      </c>
      <c r="E51">
        <f t="shared" si="0"/>
        <v>2</v>
      </c>
      <c r="F51">
        <f>E28</f>
        <v>4</v>
      </c>
    </row>
    <row r="52" spans="3:6" x14ac:dyDescent="0.25">
      <c r="C52" t="s">
        <v>205</v>
      </c>
      <c r="D52">
        <f>D24</f>
        <v>2.8684210526315792</v>
      </c>
      <c r="E52">
        <f t="shared" si="0"/>
        <v>0.1315789473684208</v>
      </c>
      <c r="F52">
        <f>E24</f>
        <v>3</v>
      </c>
    </row>
    <row r="53" spans="3:6" x14ac:dyDescent="0.25">
      <c r="C53" t="s">
        <v>206</v>
      </c>
      <c r="D53">
        <f>D23</f>
        <v>5.7368421052631575</v>
      </c>
      <c r="E53">
        <f t="shared" si="0"/>
        <v>4.2631578947368425</v>
      </c>
      <c r="F53">
        <f>E23</f>
        <v>10</v>
      </c>
    </row>
    <row r="54" spans="3:6" x14ac:dyDescent="0.25">
      <c r="C54" t="s">
        <v>207</v>
      </c>
      <c r="D54">
        <f>D22</f>
        <v>0</v>
      </c>
      <c r="E54">
        <f t="shared" si="0"/>
        <v>3</v>
      </c>
      <c r="F54">
        <f>E22</f>
        <v>3</v>
      </c>
    </row>
    <row r="55" spans="3:6" x14ac:dyDescent="0.25">
      <c r="C55" t="s">
        <v>208</v>
      </c>
      <c r="D55">
        <f>D21</f>
        <v>3.5</v>
      </c>
      <c r="E55">
        <f t="shared" si="0"/>
        <v>3.5</v>
      </c>
      <c r="F55">
        <f>E21</f>
        <v>7</v>
      </c>
    </row>
    <row r="56" spans="3:6" x14ac:dyDescent="0.25">
      <c r="C56" t="s">
        <v>209</v>
      </c>
      <c r="D56">
        <f>D20</f>
        <v>3</v>
      </c>
      <c r="E56">
        <f t="shared" si="0"/>
        <v>0</v>
      </c>
      <c r="F56">
        <f>E20</f>
        <v>3</v>
      </c>
    </row>
    <row r="57" spans="3:6" x14ac:dyDescent="0.25">
      <c r="C57" t="s">
        <v>210</v>
      </c>
      <c r="D57">
        <f>D19</f>
        <v>0</v>
      </c>
      <c r="E57">
        <f t="shared" si="0"/>
        <v>3</v>
      </c>
      <c r="F57">
        <f>E19</f>
        <v>3</v>
      </c>
    </row>
    <row r="58" spans="3:6" x14ac:dyDescent="0.25">
      <c r="C58" t="s">
        <v>211</v>
      </c>
      <c r="D58">
        <f>D18</f>
        <v>1.4782835528890048</v>
      </c>
      <c r="E58">
        <f t="shared" si="0"/>
        <v>0.52171644711099519</v>
      </c>
      <c r="F58">
        <f>E18</f>
        <v>2</v>
      </c>
    </row>
    <row r="59" spans="3:6" x14ac:dyDescent="0.25">
      <c r="C59" t="s">
        <v>212</v>
      </c>
      <c r="D59">
        <f>D17</f>
        <v>2.6153453989293909</v>
      </c>
      <c r="E59">
        <f t="shared" si="0"/>
        <v>0.38465460107060911</v>
      </c>
      <c r="F59">
        <f>E17</f>
        <v>3</v>
      </c>
    </row>
    <row r="60" spans="3:6" x14ac:dyDescent="0.25">
      <c r="C60" t="s">
        <v>213</v>
      </c>
      <c r="D60">
        <f>D16</f>
        <v>1.3700273901134734</v>
      </c>
      <c r="E60">
        <f t="shared" si="0"/>
        <v>2.6299726098865266</v>
      </c>
      <c r="F60">
        <f>E16</f>
        <v>4</v>
      </c>
    </row>
    <row r="61" spans="3:6" x14ac:dyDescent="0.25">
      <c r="C61" t="s">
        <v>214</v>
      </c>
      <c r="D61">
        <f>D15</f>
        <v>1.9846943138093203</v>
      </c>
      <c r="E61">
        <f t="shared" si="0"/>
        <v>6.01530568619068</v>
      </c>
      <c r="F61">
        <f>E15</f>
        <v>8</v>
      </c>
    </row>
    <row r="62" spans="3:6" x14ac:dyDescent="0.25">
      <c r="C62" t="s">
        <v>215</v>
      </c>
      <c r="D62">
        <f>D11</f>
        <v>0.57894736842105265</v>
      </c>
      <c r="E62">
        <f t="shared" si="0"/>
        <v>1.4210526315789473</v>
      </c>
      <c r="F62">
        <f>E11</f>
        <v>2</v>
      </c>
    </row>
    <row r="63" spans="3:6" x14ac:dyDescent="0.25">
      <c r="C63" t="s">
        <v>216</v>
      </c>
      <c r="D63">
        <f>D10</f>
        <v>1</v>
      </c>
      <c r="E63">
        <f>F63-D63</f>
        <v>1</v>
      </c>
      <c r="F63">
        <f>E10</f>
        <v>2</v>
      </c>
    </row>
    <row r="64" spans="3:6" x14ac:dyDescent="0.25">
      <c r="C64" t="s">
        <v>217</v>
      </c>
      <c r="D64">
        <f>D9</f>
        <v>3</v>
      </c>
      <c r="E64">
        <f t="shared" si="0"/>
        <v>0</v>
      </c>
      <c r="F64">
        <f>E9</f>
        <v>3</v>
      </c>
    </row>
    <row r="65" spans="3:6" x14ac:dyDescent="0.25">
      <c r="C65" t="s">
        <v>218</v>
      </c>
      <c r="D65">
        <f>D8</f>
        <v>2.8</v>
      </c>
      <c r="E65">
        <f t="shared" si="0"/>
        <v>0.20000000000000018</v>
      </c>
      <c r="F65">
        <f>E8</f>
        <v>3</v>
      </c>
    </row>
    <row r="66" spans="3:6" x14ac:dyDescent="0.25">
      <c r="C66" t="s">
        <v>219</v>
      </c>
      <c r="D66">
        <f>D7</f>
        <v>4.1578947368421053</v>
      </c>
      <c r="E66">
        <f t="shared" si="0"/>
        <v>0.84210526315789469</v>
      </c>
      <c r="F66">
        <f>E7</f>
        <v>5</v>
      </c>
    </row>
    <row r="67" spans="3:6" x14ac:dyDescent="0.25">
      <c r="C67" t="s">
        <v>220</v>
      </c>
      <c r="D67">
        <f>D6</f>
        <v>1.5</v>
      </c>
      <c r="E67">
        <f t="shared" si="0"/>
        <v>1.5</v>
      </c>
      <c r="F67">
        <f>E6</f>
        <v>3</v>
      </c>
    </row>
    <row r="68" spans="3:6" x14ac:dyDescent="0.25">
      <c r="C68" t="s">
        <v>221</v>
      </c>
      <c r="D68">
        <f>D5</f>
        <v>2</v>
      </c>
      <c r="E68">
        <f t="shared" si="0"/>
        <v>0</v>
      </c>
      <c r="F68">
        <f>E5</f>
        <v>2</v>
      </c>
    </row>
  </sheetData>
  <mergeCells count="4">
    <mergeCell ref="B3:E3"/>
    <mergeCell ref="B13:E13"/>
    <mergeCell ref="B26:E26"/>
    <mergeCell ref="B33:E3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D8299C-B96E-4F93-806E-A3465C51168D}">
  <dimension ref="C3:O61"/>
  <sheetViews>
    <sheetView topLeftCell="B26" workbookViewId="0">
      <selection activeCell="E32" sqref="E32"/>
    </sheetView>
  </sheetViews>
  <sheetFormatPr defaultRowHeight="15" x14ac:dyDescent="0.25"/>
  <cols>
    <col min="3" max="3" width="55.140625" customWidth="1"/>
    <col min="4" max="4" width="10.7109375" customWidth="1"/>
    <col min="5" max="5" width="10.85546875" customWidth="1"/>
    <col min="6" max="6" width="15.5703125" customWidth="1"/>
    <col min="9" max="9" width="15.140625" customWidth="1"/>
    <col min="10" max="10" width="12.28515625" bestFit="1" customWidth="1"/>
  </cols>
  <sheetData>
    <row r="3" spans="3:10" x14ac:dyDescent="0.25">
      <c r="C3" s="3" t="s">
        <v>1</v>
      </c>
      <c r="D3" s="1" t="s">
        <v>49</v>
      </c>
      <c r="E3" s="1" t="s">
        <v>32</v>
      </c>
      <c r="F3" s="1" t="s">
        <v>31</v>
      </c>
    </row>
    <row r="4" spans="3:10" ht="30" x14ac:dyDescent="0.25">
      <c r="C4" s="2" t="s">
        <v>29</v>
      </c>
      <c r="D4" s="1">
        <v>1</v>
      </c>
      <c r="E4" s="1">
        <v>1</v>
      </c>
      <c r="F4" s="1">
        <v>1</v>
      </c>
    </row>
    <row r="5" spans="3:10" ht="30" x14ac:dyDescent="0.25">
      <c r="C5" s="2" t="s">
        <v>30</v>
      </c>
      <c r="D5" s="1">
        <v>1</v>
      </c>
      <c r="E5" s="1">
        <v>1</v>
      </c>
      <c r="F5" s="1">
        <v>1</v>
      </c>
    </row>
    <row r="6" spans="3:10" x14ac:dyDescent="0.25">
      <c r="C6" s="1"/>
      <c r="D6" s="1"/>
      <c r="E6" s="1" t="s">
        <v>44</v>
      </c>
      <c r="F6" s="1">
        <f>SUM(F4:F5)</f>
        <v>2</v>
      </c>
    </row>
    <row r="8" spans="3:10" x14ac:dyDescent="0.25">
      <c r="C8" s="4" t="s">
        <v>2</v>
      </c>
      <c r="D8" s="1" t="s">
        <v>49</v>
      </c>
      <c r="E8" s="1" t="s">
        <v>32</v>
      </c>
      <c r="F8" s="1" t="s">
        <v>31</v>
      </c>
      <c r="H8" t="s">
        <v>37</v>
      </c>
      <c r="I8" t="s">
        <v>41</v>
      </c>
    </row>
    <row r="9" spans="3:10" x14ac:dyDescent="0.25">
      <c r="C9" s="1" t="s">
        <v>33</v>
      </c>
      <c r="D9" s="1">
        <v>3</v>
      </c>
      <c r="E9" s="1">
        <v>0.5</v>
      </c>
      <c r="F9" s="1">
        <f>D9*E9</f>
        <v>1.5</v>
      </c>
      <c r="H9" t="s">
        <v>38</v>
      </c>
      <c r="I9">
        <v>6</v>
      </c>
      <c r="J9">
        <v>6</v>
      </c>
    </row>
    <row r="10" spans="3:10" x14ac:dyDescent="0.25">
      <c r="C10" s="1" t="s">
        <v>34</v>
      </c>
      <c r="D10" s="1">
        <v>2</v>
      </c>
      <c r="E10" s="1"/>
      <c r="F10" s="1">
        <f t="shared" ref="F10:F12" si="0">D10*E10</f>
        <v>0</v>
      </c>
      <c r="H10" t="s">
        <v>39</v>
      </c>
      <c r="I10">
        <v>6.1</v>
      </c>
      <c r="J10">
        <v>6.5</v>
      </c>
    </row>
    <row r="11" spans="3:10" x14ac:dyDescent="0.25">
      <c r="C11" s="1" t="s">
        <v>35</v>
      </c>
      <c r="D11" s="1">
        <v>1</v>
      </c>
      <c r="E11" s="1"/>
      <c r="F11" s="1">
        <f t="shared" si="0"/>
        <v>0</v>
      </c>
      <c r="H11" t="s">
        <v>40</v>
      </c>
      <c r="I11">
        <f>I10/I9</f>
        <v>1.0166666666666666</v>
      </c>
      <c r="J11">
        <f>J10/J9</f>
        <v>1.0833333333333333</v>
      </c>
    </row>
    <row r="12" spans="3:10" x14ac:dyDescent="0.25">
      <c r="C12" s="1" t="s">
        <v>36</v>
      </c>
      <c r="D12" s="1">
        <v>0</v>
      </c>
      <c r="E12" s="1">
        <v>0.5</v>
      </c>
      <c r="F12" s="1">
        <f t="shared" si="0"/>
        <v>0</v>
      </c>
    </row>
    <row r="13" spans="3:10" x14ac:dyDescent="0.25">
      <c r="C13" s="1"/>
      <c r="D13" s="1"/>
      <c r="E13" s="1" t="s">
        <v>44</v>
      </c>
      <c r="F13" s="1">
        <f>SUM(F9:F12)</f>
        <v>1.5</v>
      </c>
      <c r="H13" t="s">
        <v>42</v>
      </c>
      <c r="I13">
        <v>3.7</v>
      </c>
    </row>
    <row r="14" spans="3:10" x14ac:dyDescent="0.25">
      <c r="H14" t="s">
        <v>43</v>
      </c>
      <c r="I14">
        <v>5.4</v>
      </c>
    </row>
    <row r="15" spans="3:10" x14ac:dyDescent="0.25">
      <c r="I15">
        <f>I14/I13</f>
        <v>1.4594594594594594</v>
      </c>
    </row>
    <row r="17" spans="3:11" x14ac:dyDescent="0.25">
      <c r="C17" s="4" t="s">
        <v>3</v>
      </c>
      <c r="D17" s="1" t="s">
        <v>31</v>
      </c>
      <c r="E17" s="1" t="s">
        <v>53</v>
      </c>
      <c r="F17" s="1" t="s">
        <v>32</v>
      </c>
      <c r="G17" s="1" t="s">
        <v>31</v>
      </c>
      <c r="I17" t="s">
        <v>37</v>
      </c>
      <c r="J17" t="s">
        <v>51</v>
      </c>
      <c r="K17" t="s">
        <v>52</v>
      </c>
    </row>
    <row r="18" spans="3:11" x14ac:dyDescent="0.25">
      <c r="C18" s="1" t="s">
        <v>45</v>
      </c>
      <c r="D18" s="1">
        <v>5</v>
      </c>
      <c r="E18" s="1">
        <f>COUNTIF(K19:K37,"&gt;600")</f>
        <v>9</v>
      </c>
      <c r="F18" s="6">
        <f>E18/$E$22</f>
        <v>0.47368421052631576</v>
      </c>
      <c r="G18" s="12">
        <f>D18*F18</f>
        <v>2.3684210526315788</v>
      </c>
      <c r="I18" t="s">
        <v>50</v>
      </c>
      <c r="J18">
        <v>0</v>
      </c>
      <c r="K18">
        <v>0</v>
      </c>
    </row>
    <row r="19" spans="3:11" x14ac:dyDescent="0.25">
      <c r="C19" s="1" t="s">
        <v>46</v>
      </c>
      <c r="D19" s="1">
        <v>4</v>
      </c>
      <c r="E19" s="1">
        <f>COUNTIF(K19:K37,"&gt;500")-E18</f>
        <v>4</v>
      </c>
      <c r="F19" s="6">
        <f t="shared" ref="F19:F21" si="1">E19/$E$22</f>
        <v>0.21052631578947367</v>
      </c>
      <c r="G19" s="12">
        <f t="shared" ref="G19:G21" si="2">D19*F19</f>
        <v>0.84210526315789469</v>
      </c>
      <c r="J19">
        <v>411</v>
      </c>
      <c r="K19">
        <f>J19-J18</f>
        <v>411</v>
      </c>
    </row>
    <row r="20" spans="3:11" x14ac:dyDescent="0.25">
      <c r="C20" s="1" t="s">
        <v>47</v>
      </c>
      <c r="D20" s="1">
        <v>3</v>
      </c>
      <c r="E20" s="1">
        <f>COUNTIF(K19:K37,"&gt;400")-E19-E18</f>
        <v>6</v>
      </c>
      <c r="F20" s="6">
        <f t="shared" si="1"/>
        <v>0.31578947368421051</v>
      </c>
      <c r="G20" s="12">
        <f t="shared" si="2"/>
        <v>0.94736842105263153</v>
      </c>
      <c r="J20">
        <v>1070</v>
      </c>
      <c r="K20">
        <f t="shared" ref="K20:K37" si="3">J20-J19</f>
        <v>659</v>
      </c>
    </row>
    <row r="21" spans="3:11" x14ac:dyDescent="0.25">
      <c r="C21" s="1" t="s">
        <v>48</v>
      </c>
      <c r="D21" s="1">
        <v>0</v>
      </c>
      <c r="E21" s="1">
        <v>0</v>
      </c>
      <c r="F21" s="1">
        <f t="shared" si="1"/>
        <v>0</v>
      </c>
      <c r="G21" s="12">
        <f t="shared" si="2"/>
        <v>0</v>
      </c>
      <c r="J21">
        <v>1600</v>
      </c>
      <c r="K21">
        <f t="shared" si="3"/>
        <v>530</v>
      </c>
    </row>
    <row r="22" spans="3:11" x14ac:dyDescent="0.25">
      <c r="C22" s="1"/>
      <c r="D22" s="1" t="s">
        <v>55</v>
      </c>
      <c r="E22" s="1">
        <f>SUM(E18:E21)</f>
        <v>19</v>
      </c>
      <c r="F22" s="1"/>
      <c r="G22" s="12">
        <f>SUM(G18:G21)</f>
        <v>4.1578947368421053</v>
      </c>
      <c r="J22">
        <v>2220</v>
      </c>
      <c r="K22">
        <f t="shared" si="3"/>
        <v>620</v>
      </c>
    </row>
    <row r="23" spans="3:11" x14ac:dyDescent="0.25">
      <c r="J23">
        <v>2650</v>
      </c>
      <c r="K23">
        <f t="shared" si="3"/>
        <v>430</v>
      </c>
    </row>
    <row r="24" spans="3:11" x14ac:dyDescent="0.25">
      <c r="J24">
        <v>3270</v>
      </c>
      <c r="K24">
        <f t="shared" si="3"/>
        <v>620</v>
      </c>
    </row>
    <row r="25" spans="3:11" x14ac:dyDescent="0.25">
      <c r="J25">
        <v>4110</v>
      </c>
      <c r="K25">
        <f t="shared" si="3"/>
        <v>840</v>
      </c>
    </row>
    <row r="26" spans="3:11" x14ac:dyDescent="0.25">
      <c r="J26">
        <v>4890</v>
      </c>
      <c r="K26">
        <f t="shared" si="3"/>
        <v>780</v>
      </c>
    </row>
    <row r="27" spans="3:11" x14ac:dyDescent="0.25">
      <c r="J27">
        <v>5670</v>
      </c>
      <c r="K27">
        <f t="shared" si="3"/>
        <v>780</v>
      </c>
    </row>
    <row r="28" spans="3:11" x14ac:dyDescent="0.25">
      <c r="J28">
        <v>6120</v>
      </c>
      <c r="K28">
        <f t="shared" si="3"/>
        <v>450</v>
      </c>
    </row>
    <row r="29" spans="3:11" x14ac:dyDescent="0.25">
      <c r="J29">
        <v>6690</v>
      </c>
      <c r="K29">
        <f t="shared" si="3"/>
        <v>570</v>
      </c>
    </row>
    <row r="30" spans="3:11" x14ac:dyDescent="0.25">
      <c r="J30">
        <v>7560</v>
      </c>
      <c r="K30">
        <f t="shared" si="3"/>
        <v>870</v>
      </c>
    </row>
    <row r="31" spans="3:11" x14ac:dyDescent="0.25">
      <c r="J31">
        <v>8010</v>
      </c>
      <c r="K31">
        <f t="shared" si="3"/>
        <v>450</v>
      </c>
    </row>
    <row r="32" spans="3:11" x14ac:dyDescent="0.25">
      <c r="J32">
        <v>8720</v>
      </c>
      <c r="K32">
        <f t="shared" si="3"/>
        <v>710</v>
      </c>
    </row>
    <row r="33" spans="3:14" x14ac:dyDescent="0.25">
      <c r="J33">
        <v>9450</v>
      </c>
      <c r="K33">
        <f t="shared" si="3"/>
        <v>730</v>
      </c>
    </row>
    <row r="34" spans="3:14" x14ac:dyDescent="0.25">
      <c r="J34">
        <v>9910</v>
      </c>
      <c r="K34">
        <f t="shared" si="3"/>
        <v>460</v>
      </c>
    </row>
    <row r="35" spans="3:14" x14ac:dyDescent="0.25">
      <c r="J35">
        <v>10400</v>
      </c>
      <c r="K35">
        <f t="shared" si="3"/>
        <v>490</v>
      </c>
    </row>
    <row r="36" spans="3:14" x14ac:dyDescent="0.25">
      <c r="J36">
        <v>10920</v>
      </c>
      <c r="K36">
        <f t="shared" si="3"/>
        <v>520</v>
      </c>
    </row>
    <row r="37" spans="3:14" x14ac:dyDescent="0.25">
      <c r="I37" t="s">
        <v>54</v>
      </c>
      <c r="J37">
        <v>11500</v>
      </c>
      <c r="K37">
        <f t="shared" si="3"/>
        <v>580</v>
      </c>
    </row>
    <row r="39" spans="3:14" x14ac:dyDescent="0.25">
      <c r="C39" s="4" t="s">
        <v>4</v>
      </c>
      <c r="D39" s="1" t="s">
        <v>67</v>
      </c>
      <c r="E39" s="1" t="s">
        <v>53</v>
      </c>
      <c r="F39" s="1" t="s">
        <v>72</v>
      </c>
      <c r="G39" s="1" t="s">
        <v>31</v>
      </c>
      <c r="I39" t="s">
        <v>62</v>
      </c>
      <c r="J39" t="s">
        <v>61</v>
      </c>
      <c r="K39" t="s">
        <v>60</v>
      </c>
    </row>
    <row r="40" spans="3:14" x14ac:dyDescent="0.25">
      <c r="C40" s="1" t="s">
        <v>56</v>
      </c>
      <c r="D40" s="1">
        <v>3</v>
      </c>
      <c r="E40" s="1"/>
      <c r="F40" s="1"/>
      <c r="G40" s="1">
        <v>2.8</v>
      </c>
      <c r="I40">
        <v>10</v>
      </c>
      <c r="J40">
        <v>5</v>
      </c>
      <c r="K40">
        <f>(I40^2+J40^2)/(2*J40)</f>
        <v>12.5</v>
      </c>
    </row>
    <row r="41" spans="3:14" x14ac:dyDescent="0.25">
      <c r="C41" s="1" t="s">
        <v>57</v>
      </c>
      <c r="D41" s="1">
        <v>2</v>
      </c>
      <c r="E41" s="1"/>
      <c r="F41" s="1"/>
      <c r="G41" s="1"/>
    </row>
    <row r="42" spans="3:14" x14ac:dyDescent="0.25">
      <c r="C42" s="1" t="s">
        <v>58</v>
      </c>
      <c r="D42" s="1">
        <v>1</v>
      </c>
      <c r="E42" s="1"/>
      <c r="F42" s="1"/>
      <c r="G42" s="1"/>
      <c r="I42" t="s">
        <v>63</v>
      </c>
      <c r="J42">
        <v>7</v>
      </c>
    </row>
    <row r="43" spans="3:14" x14ac:dyDescent="0.25">
      <c r="C43" s="1" t="s">
        <v>59</v>
      </c>
      <c r="D43" s="1">
        <v>0</v>
      </c>
      <c r="E43" s="1"/>
      <c r="F43" s="1"/>
      <c r="G43" s="1"/>
      <c r="I43" t="s">
        <v>64</v>
      </c>
      <c r="J43">
        <v>23</v>
      </c>
      <c r="N43">
        <f>-4*0.3+4</f>
        <v>2.8</v>
      </c>
    </row>
    <row r="44" spans="3:14" x14ac:dyDescent="0.25">
      <c r="F44" s="1" t="s">
        <v>68</v>
      </c>
      <c r="G44" s="1">
        <f>SUM(G40:G43)</f>
        <v>2.8</v>
      </c>
      <c r="J44" s="5">
        <f>J42/J43</f>
        <v>0.30434782608695654</v>
      </c>
    </row>
    <row r="46" spans="3:14" x14ac:dyDescent="0.25">
      <c r="C46" s="9" t="s">
        <v>5</v>
      </c>
      <c r="D46" s="1" t="s">
        <v>67</v>
      </c>
      <c r="E46" s="1" t="s">
        <v>53</v>
      </c>
      <c r="F46" s="1" t="s">
        <v>32</v>
      </c>
      <c r="G46" s="1" t="s">
        <v>31</v>
      </c>
    </row>
    <row r="47" spans="3:14" ht="30" x14ac:dyDescent="0.25">
      <c r="C47" s="2" t="s">
        <v>65</v>
      </c>
      <c r="D47" s="1">
        <v>3</v>
      </c>
      <c r="E47" s="1"/>
      <c r="F47" s="1"/>
      <c r="G47" s="1">
        <v>3</v>
      </c>
    </row>
    <row r="48" spans="3:14" ht="30" x14ac:dyDescent="0.25">
      <c r="C48" s="2" t="s">
        <v>66</v>
      </c>
      <c r="D48" s="1">
        <v>0</v>
      </c>
      <c r="E48" s="1"/>
      <c r="F48" s="1"/>
      <c r="G48" s="1"/>
    </row>
    <row r="49" spans="3:15" x14ac:dyDescent="0.25">
      <c r="F49" s="1" t="s">
        <v>55</v>
      </c>
      <c r="G49" s="1">
        <f>SUM(G47:G48)</f>
        <v>3</v>
      </c>
    </row>
    <row r="51" spans="3:15" x14ac:dyDescent="0.25">
      <c r="C51" s="9" t="s">
        <v>6</v>
      </c>
      <c r="D51" s="1" t="s">
        <v>67</v>
      </c>
      <c r="E51" s="1" t="s">
        <v>53</v>
      </c>
      <c r="F51" s="1" t="s">
        <v>73</v>
      </c>
      <c r="G51" s="1" t="s">
        <v>31</v>
      </c>
    </row>
    <row r="52" spans="3:15" x14ac:dyDescent="0.25">
      <c r="C52" s="1" t="s">
        <v>69</v>
      </c>
      <c r="D52" s="1">
        <v>2</v>
      </c>
      <c r="E52" s="1"/>
      <c r="F52" s="1"/>
      <c r="G52" s="1"/>
    </row>
    <row r="53" spans="3:15" x14ac:dyDescent="0.25">
      <c r="C53" s="1" t="s">
        <v>70</v>
      </c>
      <c r="D53" s="1">
        <v>1</v>
      </c>
      <c r="E53" s="1"/>
      <c r="F53" s="1"/>
      <c r="G53" s="1">
        <v>1</v>
      </c>
    </row>
    <row r="54" spans="3:15" x14ac:dyDescent="0.25">
      <c r="C54" s="1" t="s">
        <v>71</v>
      </c>
      <c r="D54" s="1">
        <v>0</v>
      </c>
      <c r="E54" s="1"/>
      <c r="F54" s="1"/>
      <c r="G54" s="1"/>
    </row>
    <row r="55" spans="3:15" x14ac:dyDescent="0.25">
      <c r="F55" s="1" t="s">
        <v>68</v>
      </c>
      <c r="G55" s="1">
        <f>SUM(G52:G54)</f>
        <v>1</v>
      </c>
    </row>
    <row r="57" spans="3:15" x14ac:dyDescent="0.25">
      <c r="C57" s="1" t="s">
        <v>74</v>
      </c>
      <c r="D57" s="1" t="s">
        <v>67</v>
      </c>
      <c r="E57" s="1" t="s">
        <v>53</v>
      </c>
      <c r="F57" s="1" t="s">
        <v>73</v>
      </c>
      <c r="G57" s="1" t="s">
        <v>31</v>
      </c>
      <c r="N57" t="s">
        <v>173</v>
      </c>
      <c r="O57">
        <v>5</v>
      </c>
    </row>
    <row r="58" spans="3:15" x14ac:dyDescent="0.25">
      <c r="C58" s="1" t="s">
        <v>75</v>
      </c>
      <c r="D58" s="1">
        <v>1</v>
      </c>
      <c r="E58" s="1">
        <v>0</v>
      </c>
      <c r="F58" s="1">
        <v>38</v>
      </c>
      <c r="G58" s="1"/>
      <c r="N58" t="s">
        <v>174</v>
      </c>
      <c r="O58">
        <f>O57/3.6</f>
        <v>1.3888888888888888</v>
      </c>
    </row>
    <row r="59" spans="3:15" x14ac:dyDescent="0.25">
      <c r="C59" s="9" t="s">
        <v>76</v>
      </c>
      <c r="D59" s="1">
        <v>1</v>
      </c>
      <c r="E59" s="1">
        <v>22</v>
      </c>
      <c r="F59" s="1">
        <v>38</v>
      </c>
      <c r="G59" s="12">
        <f>(E59/F59)*D59</f>
        <v>0.57894736842105265</v>
      </c>
    </row>
    <row r="60" spans="3:15" x14ac:dyDescent="0.25">
      <c r="F60" s="7" t="s">
        <v>68</v>
      </c>
      <c r="G60" s="11">
        <f>SUM(G58:G59)</f>
        <v>0.57894736842105265</v>
      </c>
      <c r="N60" t="s">
        <v>175</v>
      </c>
    </row>
    <row r="61" spans="3:15" x14ac:dyDescent="0.25">
      <c r="N61">
        <f>O58*60*10</f>
        <v>833.33333333333326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75EA32-5F2D-4E9F-BA99-1531F44A829E}">
  <dimension ref="C4:AG109"/>
  <sheetViews>
    <sheetView zoomScaleNormal="100" workbookViewId="0">
      <selection activeCell="S29" sqref="S29"/>
    </sheetView>
  </sheetViews>
  <sheetFormatPr defaultRowHeight="15" x14ac:dyDescent="0.25"/>
  <cols>
    <col min="3" max="3" width="47" customWidth="1"/>
    <col min="4" max="4" width="9.42578125" bestFit="1" customWidth="1"/>
    <col min="5" max="5" width="12.85546875" bestFit="1" customWidth="1"/>
    <col min="6" max="6" width="10.42578125" customWidth="1"/>
    <col min="9" max="9" width="10.85546875" customWidth="1"/>
    <col min="14" max="14" width="21" customWidth="1"/>
  </cols>
  <sheetData>
    <row r="4" spans="3:33" x14ac:dyDescent="0.25">
      <c r="C4" s="1" t="s">
        <v>14</v>
      </c>
      <c r="D4" s="1" t="s">
        <v>67</v>
      </c>
      <c r="E4" s="1" t="s">
        <v>89</v>
      </c>
      <c r="F4" s="1" t="s">
        <v>31</v>
      </c>
      <c r="I4" t="s">
        <v>96</v>
      </c>
      <c r="K4" t="s">
        <v>98</v>
      </c>
      <c r="N4" t="s">
        <v>97</v>
      </c>
      <c r="O4" t="s">
        <v>98</v>
      </c>
      <c r="P4" t="s">
        <v>196</v>
      </c>
    </row>
    <row r="5" spans="3:33" ht="45" x14ac:dyDescent="0.25">
      <c r="C5" s="2" t="s">
        <v>90</v>
      </c>
      <c r="D5" s="1">
        <v>8</v>
      </c>
      <c r="E5" s="6">
        <f>(K33+S36)/($K$37+$S$40)</f>
        <v>5.6861906797776827E-2</v>
      </c>
      <c r="F5" s="12">
        <f>D5*E5</f>
        <v>0.45489525438221462</v>
      </c>
      <c r="I5" t="str">
        <f>J36</f>
        <v>Blandtrafik</v>
      </c>
      <c r="J5">
        <v>3500</v>
      </c>
      <c r="K5">
        <f>J5</f>
        <v>3500</v>
      </c>
      <c r="N5" t="str">
        <f>J36</f>
        <v>Blandtrafik</v>
      </c>
      <c r="O5">
        <v>600</v>
      </c>
      <c r="P5">
        <f>O5</f>
        <v>600</v>
      </c>
      <c r="Y5" t="s">
        <v>93</v>
      </c>
      <c r="Z5">
        <v>0</v>
      </c>
      <c r="AA5">
        <v>3460</v>
      </c>
      <c r="AB5">
        <f>AA5-Z5</f>
        <v>3460</v>
      </c>
      <c r="AD5" t="s">
        <v>93</v>
      </c>
      <c r="AE5">
        <v>0</v>
      </c>
      <c r="AF5">
        <v>611</v>
      </c>
      <c r="AG5">
        <f>AF5-AE5</f>
        <v>611</v>
      </c>
    </row>
    <row r="6" spans="3:33" ht="45" x14ac:dyDescent="0.25">
      <c r="C6" s="2" t="s">
        <v>91</v>
      </c>
      <c r="D6" s="1">
        <v>6</v>
      </c>
      <c r="E6" s="6">
        <f>(K34+S37)/($K$37+$S$40)</f>
        <v>0.22304403591278324</v>
      </c>
      <c r="F6" s="12">
        <f t="shared" ref="F6:F8" si="0">D6*E6</f>
        <v>1.3382642154766995</v>
      </c>
      <c r="I6" t="str">
        <f>J33</f>
        <v>Fysiskt separerad</v>
      </c>
      <c r="J6">
        <v>4070</v>
      </c>
      <c r="K6">
        <f>J6-J5</f>
        <v>570</v>
      </c>
      <c r="N6" t="str">
        <f>J35</f>
        <v>Endast målad linje</v>
      </c>
      <c r="O6">
        <v>650</v>
      </c>
      <c r="P6">
        <f>O6-O5</f>
        <v>50</v>
      </c>
      <c r="Y6" s="10" t="s">
        <v>99</v>
      </c>
      <c r="Z6">
        <v>3460</v>
      </c>
      <c r="AA6">
        <v>4020</v>
      </c>
      <c r="AB6">
        <f t="shared" ref="AB6:AB30" si="1">AA6-Z6</f>
        <v>560</v>
      </c>
      <c r="AD6" t="s">
        <v>95</v>
      </c>
      <c r="AE6">
        <v>611</v>
      </c>
      <c r="AF6">
        <v>648</v>
      </c>
      <c r="AG6">
        <f t="shared" ref="AG6:AG21" si="2">AF6-AE6</f>
        <v>37</v>
      </c>
    </row>
    <row r="7" spans="3:33" ht="30" x14ac:dyDescent="0.25">
      <c r="C7" s="2" t="s">
        <v>92</v>
      </c>
      <c r="D7" s="1">
        <v>4</v>
      </c>
      <c r="E7" s="6">
        <f>(K35+S38)/($K$37+$S$40)</f>
        <v>4.7883710987601538E-2</v>
      </c>
      <c r="F7" s="12">
        <f t="shared" si="0"/>
        <v>0.19153484395040615</v>
      </c>
      <c r="I7" t="str">
        <f>J34</f>
        <v>Visuellt markerat</v>
      </c>
      <c r="J7">
        <v>4230</v>
      </c>
      <c r="K7">
        <f t="shared" ref="K7:K23" si="3">J7-J6</f>
        <v>160</v>
      </c>
      <c r="N7" t="s">
        <v>93</v>
      </c>
      <c r="O7">
        <v>913</v>
      </c>
      <c r="P7">
        <f t="shared" ref="P7:P26" si="4">O7-O6</f>
        <v>263</v>
      </c>
      <c r="Y7" s="10" t="s">
        <v>94</v>
      </c>
      <c r="Z7">
        <v>4020</v>
      </c>
      <c r="AA7">
        <v>4190</v>
      </c>
      <c r="AB7">
        <f t="shared" si="1"/>
        <v>170</v>
      </c>
      <c r="AD7" t="s">
        <v>93</v>
      </c>
      <c r="AE7">
        <v>648</v>
      </c>
      <c r="AF7">
        <v>907</v>
      </c>
      <c r="AG7">
        <f t="shared" si="2"/>
        <v>259</v>
      </c>
    </row>
    <row r="8" spans="3:33" x14ac:dyDescent="0.25">
      <c r="C8" s="1" t="s">
        <v>93</v>
      </c>
      <c r="D8" s="1">
        <v>0</v>
      </c>
      <c r="E8" s="6">
        <f>(K36+S39)/($K$37+$S$40)</f>
        <v>0.6722103463018384</v>
      </c>
      <c r="F8" s="1">
        <f t="shared" si="0"/>
        <v>0</v>
      </c>
      <c r="I8" t="s">
        <v>93</v>
      </c>
      <c r="J8">
        <v>4880</v>
      </c>
      <c r="K8">
        <f t="shared" si="3"/>
        <v>650</v>
      </c>
      <c r="N8" t="str">
        <f>J34</f>
        <v>Visuellt markerat</v>
      </c>
      <c r="O8">
        <v>2180</v>
      </c>
      <c r="P8">
        <f t="shared" si="4"/>
        <v>1267</v>
      </c>
      <c r="Y8" t="s">
        <v>93</v>
      </c>
      <c r="Z8">
        <v>4190</v>
      </c>
      <c r="AA8">
        <v>4840</v>
      </c>
      <c r="AB8">
        <f t="shared" si="1"/>
        <v>650</v>
      </c>
      <c r="AD8" t="s">
        <v>94</v>
      </c>
      <c r="AE8">
        <v>907</v>
      </c>
      <c r="AF8">
        <v>2170</v>
      </c>
      <c r="AG8">
        <f t="shared" si="2"/>
        <v>1263</v>
      </c>
    </row>
    <row r="9" spans="3:33" x14ac:dyDescent="0.25">
      <c r="E9" s="7" t="s">
        <v>44</v>
      </c>
      <c r="F9" s="11">
        <f>SUM(F5:F8)</f>
        <v>1.9846943138093203</v>
      </c>
      <c r="I9" t="str">
        <f>J35</f>
        <v>Endast målad linje</v>
      </c>
      <c r="J9">
        <v>4940</v>
      </c>
      <c r="K9">
        <f t="shared" si="3"/>
        <v>60</v>
      </c>
      <c r="N9" t="s">
        <v>93</v>
      </c>
      <c r="O9">
        <v>2640</v>
      </c>
      <c r="P9">
        <f t="shared" si="4"/>
        <v>460</v>
      </c>
      <c r="Y9" t="s">
        <v>95</v>
      </c>
      <c r="Z9">
        <v>4840</v>
      </c>
      <c r="AA9">
        <v>4910</v>
      </c>
      <c r="AB9">
        <f t="shared" si="1"/>
        <v>70</v>
      </c>
      <c r="AD9" t="s">
        <v>93</v>
      </c>
      <c r="AE9">
        <v>2170</v>
      </c>
      <c r="AF9">
        <v>2640</v>
      </c>
      <c r="AG9">
        <f t="shared" si="2"/>
        <v>470</v>
      </c>
    </row>
    <row r="10" spans="3:33" x14ac:dyDescent="0.25">
      <c r="I10" t="s">
        <v>93</v>
      </c>
      <c r="J10">
        <v>5660</v>
      </c>
      <c r="K10">
        <f t="shared" si="3"/>
        <v>720</v>
      </c>
      <c r="N10" t="s">
        <v>95</v>
      </c>
      <c r="O10">
        <v>3050</v>
      </c>
      <c r="P10">
        <f t="shared" si="4"/>
        <v>410</v>
      </c>
      <c r="Y10" t="s">
        <v>93</v>
      </c>
      <c r="Z10">
        <v>4910</v>
      </c>
      <c r="AA10">
        <v>5610</v>
      </c>
      <c r="AB10">
        <f t="shared" si="1"/>
        <v>700</v>
      </c>
      <c r="AD10" t="s">
        <v>95</v>
      </c>
      <c r="AE10">
        <v>2640</v>
      </c>
      <c r="AF10">
        <v>3040</v>
      </c>
      <c r="AG10">
        <f t="shared" si="2"/>
        <v>400</v>
      </c>
    </row>
    <row r="11" spans="3:33" x14ac:dyDescent="0.25">
      <c r="I11" t="s">
        <v>94</v>
      </c>
      <c r="J11">
        <v>5700</v>
      </c>
      <c r="K11">
        <f t="shared" si="3"/>
        <v>40</v>
      </c>
      <c r="N11" t="s">
        <v>93</v>
      </c>
      <c r="O11">
        <v>4730</v>
      </c>
      <c r="P11">
        <f t="shared" si="4"/>
        <v>1680</v>
      </c>
      <c r="Y11" t="s">
        <v>95</v>
      </c>
      <c r="Z11">
        <v>5610</v>
      </c>
      <c r="AA11">
        <v>5620</v>
      </c>
      <c r="AB11">
        <f t="shared" si="1"/>
        <v>10</v>
      </c>
      <c r="AD11" t="s">
        <v>93</v>
      </c>
      <c r="AE11">
        <v>3040</v>
      </c>
      <c r="AF11">
        <v>3890</v>
      </c>
      <c r="AG11">
        <f t="shared" si="2"/>
        <v>850</v>
      </c>
    </row>
    <row r="12" spans="3:33" x14ac:dyDescent="0.25">
      <c r="I12" t="s">
        <v>93</v>
      </c>
      <c r="J12">
        <v>6170</v>
      </c>
      <c r="K12">
        <f t="shared" si="3"/>
        <v>470</v>
      </c>
      <c r="N12" t="s">
        <v>94</v>
      </c>
      <c r="O12">
        <v>5330</v>
      </c>
      <c r="P12">
        <f t="shared" si="4"/>
        <v>600</v>
      </c>
      <c r="Y12" t="s">
        <v>94</v>
      </c>
      <c r="Z12">
        <v>5620</v>
      </c>
      <c r="AA12">
        <v>5660</v>
      </c>
      <c r="AB12">
        <f t="shared" si="1"/>
        <v>40</v>
      </c>
      <c r="AD12" t="s">
        <v>94</v>
      </c>
      <c r="AE12">
        <v>3890</v>
      </c>
      <c r="AF12">
        <v>3950</v>
      </c>
      <c r="AG12">
        <f t="shared" si="2"/>
        <v>60</v>
      </c>
    </row>
    <row r="13" spans="3:33" x14ac:dyDescent="0.25">
      <c r="I13" t="s">
        <v>94</v>
      </c>
      <c r="J13">
        <v>6400</v>
      </c>
      <c r="K13">
        <f t="shared" si="3"/>
        <v>230</v>
      </c>
      <c r="N13" t="s">
        <v>93</v>
      </c>
      <c r="O13">
        <v>5670</v>
      </c>
      <c r="P13">
        <f t="shared" si="4"/>
        <v>340</v>
      </c>
      <c r="Y13" t="s">
        <v>93</v>
      </c>
      <c r="Z13">
        <v>5660</v>
      </c>
      <c r="AA13">
        <v>6120</v>
      </c>
      <c r="AB13">
        <f t="shared" si="1"/>
        <v>460</v>
      </c>
      <c r="AD13" t="s">
        <v>93</v>
      </c>
      <c r="AE13">
        <v>3950</v>
      </c>
      <c r="AF13">
        <v>4710</v>
      </c>
      <c r="AG13">
        <f t="shared" si="2"/>
        <v>760</v>
      </c>
    </row>
    <row r="14" spans="3:33" x14ac:dyDescent="0.25">
      <c r="I14" t="s">
        <v>93</v>
      </c>
      <c r="J14">
        <v>6470</v>
      </c>
      <c r="K14">
        <f t="shared" si="3"/>
        <v>70</v>
      </c>
      <c r="N14" t="s">
        <v>94</v>
      </c>
      <c r="O14">
        <v>5720</v>
      </c>
      <c r="P14">
        <f t="shared" si="4"/>
        <v>50</v>
      </c>
      <c r="Y14" t="s">
        <v>94</v>
      </c>
      <c r="Z14">
        <v>6120</v>
      </c>
      <c r="AA14">
        <v>6350</v>
      </c>
      <c r="AB14">
        <f t="shared" si="1"/>
        <v>230</v>
      </c>
      <c r="AD14" t="s">
        <v>94</v>
      </c>
      <c r="AE14">
        <v>4710</v>
      </c>
      <c r="AF14">
        <v>4970</v>
      </c>
      <c r="AG14">
        <f t="shared" si="2"/>
        <v>260</v>
      </c>
    </row>
    <row r="15" spans="3:33" x14ac:dyDescent="0.25">
      <c r="I15" t="s">
        <v>94</v>
      </c>
      <c r="J15">
        <v>6850</v>
      </c>
      <c r="K15">
        <f t="shared" si="3"/>
        <v>380</v>
      </c>
      <c r="N15" t="str">
        <f>J33</f>
        <v>Fysiskt separerad</v>
      </c>
      <c r="O15">
        <v>5910</v>
      </c>
      <c r="P15">
        <f t="shared" si="4"/>
        <v>190</v>
      </c>
      <c r="Y15" t="s">
        <v>93</v>
      </c>
      <c r="Z15">
        <v>6350</v>
      </c>
      <c r="AA15">
        <v>6430</v>
      </c>
      <c r="AB15">
        <f t="shared" si="1"/>
        <v>80</v>
      </c>
      <c r="AD15" t="s">
        <v>93</v>
      </c>
      <c r="AE15">
        <v>4970</v>
      </c>
      <c r="AF15">
        <v>5050</v>
      </c>
      <c r="AG15">
        <f t="shared" si="2"/>
        <v>80</v>
      </c>
    </row>
    <row r="16" spans="3:33" x14ac:dyDescent="0.25">
      <c r="I16" t="s">
        <v>93</v>
      </c>
      <c r="J16">
        <v>7500</v>
      </c>
      <c r="K16">
        <f t="shared" si="3"/>
        <v>650</v>
      </c>
      <c r="N16" t="s">
        <v>93</v>
      </c>
      <c r="O16">
        <v>6540</v>
      </c>
      <c r="P16">
        <f t="shared" si="4"/>
        <v>630</v>
      </c>
      <c r="Y16" t="s">
        <v>94</v>
      </c>
      <c r="Z16">
        <v>6430</v>
      </c>
      <c r="AA16">
        <v>6580</v>
      </c>
      <c r="AB16">
        <f t="shared" si="1"/>
        <v>150</v>
      </c>
      <c r="AD16" t="s">
        <v>94</v>
      </c>
      <c r="AE16">
        <v>5050</v>
      </c>
      <c r="AF16">
        <v>5150</v>
      </c>
      <c r="AG16">
        <f t="shared" si="2"/>
        <v>100</v>
      </c>
    </row>
    <row r="17" spans="9:33" x14ac:dyDescent="0.25">
      <c r="I17" t="s">
        <v>94</v>
      </c>
      <c r="J17">
        <v>7560</v>
      </c>
      <c r="K17">
        <f t="shared" si="3"/>
        <v>60</v>
      </c>
      <c r="N17" t="s">
        <v>95</v>
      </c>
      <c r="O17">
        <v>6600</v>
      </c>
      <c r="P17">
        <f t="shared" si="4"/>
        <v>60</v>
      </c>
      <c r="Y17" t="s">
        <v>93</v>
      </c>
      <c r="Z17">
        <v>6580</v>
      </c>
      <c r="AA17">
        <v>6600</v>
      </c>
      <c r="AB17">
        <f t="shared" si="1"/>
        <v>20</v>
      </c>
      <c r="AD17" t="s">
        <v>93</v>
      </c>
      <c r="AE17">
        <v>5150</v>
      </c>
      <c r="AF17">
        <v>5210</v>
      </c>
      <c r="AG17">
        <f t="shared" si="2"/>
        <v>60</v>
      </c>
    </row>
    <row r="18" spans="9:33" x14ac:dyDescent="0.25">
      <c r="I18" t="s">
        <v>93</v>
      </c>
      <c r="J18">
        <v>8440</v>
      </c>
      <c r="K18">
        <f t="shared" si="3"/>
        <v>880</v>
      </c>
      <c r="N18" t="s">
        <v>93</v>
      </c>
      <c r="O18">
        <v>7180</v>
      </c>
      <c r="P18">
        <f t="shared" si="4"/>
        <v>580</v>
      </c>
      <c r="Y18" t="s">
        <v>94</v>
      </c>
      <c r="Z18">
        <v>6600</v>
      </c>
      <c r="AA18">
        <v>6630</v>
      </c>
      <c r="AB18">
        <f t="shared" si="1"/>
        <v>30</v>
      </c>
      <c r="AD18" t="s">
        <v>94</v>
      </c>
      <c r="AE18">
        <v>5210</v>
      </c>
      <c r="AF18">
        <v>5310</v>
      </c>
      <c r="AG18">
        <f t="shared" si="2"/>
        <v>100</v>
      </c>
    </row>
    <row r="19" spans="9:33" x14ac:dyDescent="0.25">
      <c r="I19" t="s">
        <v>95</v>
      </c>
      <c r="J19">
        <v>8810</v>
      </c>
      <c r="K19">
        <f t="shared" si="3"/>
        <v>370</v>
      </c>
      <c r="N19" t="s">
        <v>95</v>
      </c>
      <c r="O19">
        <v>7260</v>
      </c>
      <c r="P19">
        <f t="shared" si="4"/>
        <v>80</v>
      </c>
      <c r="Y19" t="s">
        <v>93</v>
      </c>
      <c r="Z19">
        <v>6630</v>
      </c>
      <c r="AA19">
        <v>6640</v>
      </c>
      <c r="AB19">
        <f t="shared" si="1"/>
        <v>10</v>
      </c>
      <c r="AD19" t="s">
        <v>93</v>
      </c>
      <c r="AE19">
        <v>5310</v>
      </c>
      <c r="AF19">
        <v>5680</v>
      </c>
      <c r="AG19">
        <f t="shared" si="2"/>
        <v>370</v>
      </c>
    </row>
    <row r="20" spans="9:33" x14ac:dyDescent="0.25">
      <c r="I20" t="s">
        <v>93</v>
      </c>
      <c r="J20">
        <v>9190</v>
      </c>
      <c r="K20">
        <f t="shared" si="3"/>
        <v>380</v>
      </c>
      <c r="N20" t="s">
        <v>94</v>
      </c>
      <c r="O20">
        <v>7400</v>
      </c>
      <c r="P20">
        <f t="shared" si="4"/>
        <v>140</v>
      </c>
      <c r="Y20" t="s">
        <v>94</v>
      </c>
      <c r="Z20">
        <v>6640</v>
      </c>
      <c r="AA20">
        <v>6700</v>
      </c>
      <c r="AB20">
        <f t="shared" si="1"/>
        <v>60</v>
      </c>
      <c r="AD20" t="s">
        <v>94</v>
      </c>
      <c r="AE20">
        <v>5680</v>
      </c>
      <c r="AF20">
        <v>5760</v>
      </c>
      <c r="AG20">
        <f t="shared" si="2"/>
        <v>80</v>
      </c>
    </row>
    <row r="21" spans="9:33" x14ac:dyDescent="0.25">
      <c r="I21" t="s">
        <v>95</v>
      </c>
      <c r="J21">
        <v>9280</v>
      </c>
      <c r="K21">
        <f t="shared" si="3"/>
        <v>90</v>
      </c>
      <c r="N21" t="s">
        <v>99</v>
      </c>
      <c r="O21">
        <v>7970</v>
      </c>
      <c r="P21">
        <f t="shared" si="4"/>
        <v>570</v>
      </c>
      <c r="Y21" t="s">
        <v>93</v>
      </c>
      <c r="Z21">
        <v>6700</v>
      </c>
      <c r="AA21">
        <v>6740</v>
      </c>
      <c r="AB21">
        <f t="shared" si="1"/>
        <v>40</v>
      </c>
      <c r="AD21" t="s">
        <v>99</v>
      </c>
      <c r="AE21">
        <v>5760</v>
      </c>
      <c r="AF21">
        <v>5930</v>
      </c>
      <c r="AG21">
        <f t="shared" si="2"/>
        <v>170</v>
      </c>
    </row>
    <row r="22" spans="9:33" x14ac:dyDescent="0.25">
      <c r="I22" t="s">
        <v>94</v>
      </c>
      <c r="J22">
        <v>10740</v>
      </c>
      <c r="K22">
        <f t="shared" si="3"/>
        <v>1460</v>
      </c>
      <c r="N22" t="s">
        <v>93</v>
      </c>
      <c r="O22">
        <v>10790</v>
      </c>
      <c r="P22">
        <f t="shared" si="4"/>
        <v>2820</v>
      </c>
      <c r="Y22" t="s">
        <v>94</v>
      </c>
      <c r="Z22">
        <v>6740</v>
      </c>
      <c r="AA22">
        <v>6810</v>
      </c>
      <c r="AB22">
        <f t="shared" si="1"/>
        <v>70</v>
      </c>
      <c r="AD22" t="s">
        <v>93</v>
      </c>
      <c r="AE22">
        <v>5880</v>
      </c>
      <c r="AF22">
        <v>6520</v>
      </c>
      <c r="AG22">
        <f>AF22-AE22</f>
        <v>640</v>
      </c>
    </row>
    <row r="23" spans="9:33" x14ac:dyDescent="0.25">
      <c r="I23" t="s">
        <v>93</v>
      </c>
      <c r="J23">
        <v>11530</v>
      </c>
      <c r="K23">
        <f t="shared" si="3"/>
        <v>790</v>
      </c>
      <c r="N23" t="s">
        <v>94</v>
      </c>
      <c r="O23">
        <v>11460</v>
      </c>
      <c r="P23">
        <f t="shared" si="4"/>
        <v>670</v>
      </c>
      <c r="Y23" t="s">
        <v>93</v>
      </c>
      <c r="Z23">
        <v>6810</v>
      </c>
      <c r="AA23">
        <v>7450</v>
      </c>
      <c r="AB23">
        <f t="shared" si="1"/>
        <v>640</v>
      </c>
      <c r="AD23" t="s">
        <v>95</v>
      </c>
      <c r="AE23">
        <v>6520</v>
      </c>
      <c r="AF23">
        <v>6610</v>
      </c>
      <c r="AG23">
        <f>AF23-AE23</f>
        <v>90</v>
      </c>
    </row>
    <row r="24" spans="9:33" x14ac:dyDescent="0.25">
      <c r="N24" t="s">
        <v>93</v>
      </c>
      <c r="O24">
        <v>11610</v>
      </c>
      <c r="P24">
        <f t="shared" si="4"/>
        <v>150</v>
      </c>
      <c r="Y24" t="s">
        <v>94</v>
      </c>
      <c r="Z24">
        <v>7450</v>
      </c>
      <c r="AA24">
        <v>7500</v>
      </c>
      <c r="AB24">
        <f t="shared" si="1"/>
        <v>50</v>
      </c>
      <c r="AD24" t="s">
        <v>93</v>
      </c>
      <c r="AE24">
        <v>6610</v>
      </c>
      <c r="AF24">
        <v>7240</v>
      </c>
      <c r="AG24">
        <f>AF24-AE24</f>
        <v>630</v>
      </c>
    </row>
    <row r="25" spans="9:33" x14ac:dyDescent="0.25">
      <c r="N25" t="s">
        <v>94</v>
      </c>
      <c r="O25">
        <v>11770</v>
      </c>
      <c r="P25">
        <f t="shared" si="4"/>
        <v>160</v>
      </c>
      <c r="Y25" t="s">
        <v>93</v>
      </c>
      <c r="Z25">
        <v>7500</v>
      </c>
      <c r="AA25">
        <v>8400</v>
      </c>
      <c r="AB25">
        <f t="shared" si="1"/>
        <v>900</v>
      </c>
      <c r="AD25" t="s">
        <v>94</v>
      </c>
      <c r="AE25">
        <v>7240</v>
      </c>
      <c r="AF25">
        <v>7430</v>
      </c>
      <c r="AG25">
        <f>AF25-AE25</f>
        <v>190</v>
      </c>
    </row>
    <row r="26" spans="9:33" x14ac:dyDescent="0.25">
      <c r="N26" t="s">
        <v>93</v>
      </c>
      <c r="O26">
        <v>11860</v>
      </c>
      <c r="P26">
        <f t="shared" si="4"/>
        <v>90</v>
      </c>
      <c r="Y26" t="s">
        <v>95</v>
      </c>
      <c r="Z26">
        <v>8400</v>
      </c>
      <c r="AA26">
        <v>8760</v>
      </c>
      <c r="AB26">
        <f t="shared" si="1"/>
        <v>360</v>
      </c>
      <c r="AD26" t="s">
        <v>99</v>
      </c>
      <c r="AE26">
        <v>7430</v>
      </c>
      <c r="AF26">
        <v>8030</v>
      </c>
      <c r="AG26">
        <f>AF26-AE26</f>
        <v>600</v>
      </c>
    </row>
    <row r="27" spans="9:33" x14ac:dyDescent="0.25">
      <c r="Y27" t="s">
        <v>93</v>
      </c>
      <c r="Z27">
        <v>8760</v>
      </c>
      <c r="AA27">
        <v>9180</v>
      </c>
      <c r="AB27">
        <f t="shared" si="1"/>
        <v>420</v>
      </c>
      <c r="AD27" t="s">
        <v>93</v>
      </c>
      <c r="AE27">
        <v>8030</v>
      </c>
      <c r="AF27">
        <v>10760</v>
      </c>
      <c r="AG27">
        <f t="shared" ref="AG27:AG33" si="5">AF27-AE27</f>
        <v>2730</v>
      </c>
    </row>
    <row r="28" spans="9:33" x14ac:dyDescent="0.25">
      <c r="Y28" t="s">
        <v>95</v>
      </c>
      <c r="Z28">
        <v>9180</v>
      </c>
      <c r="AA28">
        <v>9260</v>
      </c>
      <c r="AB28">
        <f t="shared" si="1"/>
        <v>80</v>
      </c>
      <c r="AD28" t="s">
        <v>94</v>
      </c>
      <c r="AE28">
        <v>10760</v>
      </c>
      <c r="AF28">
        <v>11310</v>
      </c>
      <c r="AG28">
        <f t="shared" si="5"/>
        <v>550</v>
      </c>
    </row>
    <row r="29" spans="9:33" x14ac:dyDescent="0.25">
      <c r="Y29" t="s">
        <v>94</v>
      </c>
      <c r="Z29">
        <v>9260</v>
      </c>
      <c r="AA29">
        <v>10720</v>
      </c>
      <c r="AB29">
        <f t="shared" si="1"/>
        <v>1460</v>
      </c>
      <c r="AD29" t="s">
        <v>93</v>
      </c>
      <c r="AE29">
        <v>11310</v>
      </c>
      <c r="AF29">
        <v>11380</v>
      </c>
      <c r="AG29">
        <f t="shared" si="5"/>
        <v>70</v>
      </c>
    </row>
    <row r="30" spans="9:33" x14ac:dyDescent="0.25">
      <c r="Y30" t="s">
        <v>93</v>
      </c>
      <c r="Z30">
        <v>10720</v>
      </c>
      <c r="AA30">
        <v>11470</v>
      </c>
      <c r="AB30">
        <f t="shared" si="1"/>
        <v>750</v>
      </c>
      <c r="AD30" t="s">
        <v>94</v>
      </c>
      <c r="AE30">
        <v>11380</v>
      </c>
      <c r="AF30">
        <v>11450</v>
      </c>
      <c r="AG30">
        <f t="shared" si="5"/>
        <v>70</v>
      </c>
    </row>
    <row r="31" spans="9:33" x14ac:dyDescent="0.25">
      <c r="AD31" t="s">
        <v>93</v>
      </c>
      <c r="AE31">
        <v>11450</v>
      </c>
      <c r="AF31">
        <v>11580</v>
      </c>
      <c r="AG31">
        <f t="shared" si="5"/>
        <v>130</v>
      </c>
    </row>
    <row r="32" spans="9:33" x14ac:dyDescent="0.25">
      <c r="K32" t="s">
        <v>98</v>
      </c>
      <c r="L32" t="s">
        <v>100</v>
      </c>
      <c r="AD32" t="s">
        <v>94</v>
      </c>
      <c r="AE32">
        <v>11580</v>
      </c>
      <c r="AF32">
        <v>11720</v>
      </c>
      <c r="AG32">
        <f t="shared" si="5"/>
        <v>140</v>
      </c>
    </row>
    <row r="33" spans="3:33" x14ac:dyDescent="0.25">
      <c r="I33" t="s">
        <v>44</v>
      </c>
      <c r="J33" t="s">
        <v>99</v>
      </c>
      <c r="K33">
        <f>SUMIF(I5:I23,"*Fysiskt separerad*",K5:K30)</f>
        <v>570</v>
      </c>
      <c r="L33" s="5">
        <f>K33/$K$37</f>
        <v>4.9436253252385085E-2</v>
      </c>
      <c r="AD33" t="s">
        <v>93</v>
      </c>
      <c r="AE33">
        <v>11720</v>
      </c>
      <c r="AF33">
        <v>11860</v>
      </c>
      <c r="AG33">
        <f t="shared" si="5"/>
        <v>140</v>
      </c>
    </row>
    <row r="34" spans="3:33" x14ac:dyDescent="0.25">
      <c r="J34" t="s">
        <v>94</v>
      </c>
      <c r="K34">
        <f>SUMIF(I5:I23,"*Visuellt markerat*",K5:K23)</f>
        <v>2330</v>
      </c>
      <c r="L34" s="5">
        <f t="shared" ref="L34:L36" si="6">K34/$K$37</f>
        <v>0.202081526452732</v>
      </c>
    </row>
    <row r="35" spans="3:33" x14ac:dyDescent="0.25">
      <c r="J35" t="s">
        <v>95</v>
      </c>
      <c r="K35">
        <f>SUMIF(I5:I30,"*Endast målad linje*",K5:K30)</f>
        <v>520</v>
      </c>
      <c r="L35" s="5">
        <f t="shared" si="6"/>
        <v>4.5099739809193407E-2</v>
      </c>
      <c r="S35" t="s">
        <v>98</v>
      </c>
      <c r="T35" t="s">
        <v>100</v>
      </c>
    </row>
    <row r="36" spans="3:33" x14ac:dyDescent="0.25">
      <c r="J36" t="s">
        <v>93</v>
      </c>
      <c r="K36">
        <f>SUMIF(I5:I30,"*Blandtrafik*",K5:K30)</f>
        <v>8110</v>
      </c>
      <c r="L36" s="5">
        <f t="shared" si="6"/>
        <v>0.70338248048568952</v>
      </c>
      <c r="Q36" t="s">
        <v>44</v>
      </c>
      <c r="R36" t="s">
        <v>99</v>
      </c>
      <c r="S36">
        <f>SUMIF(N5:N33,"*Fysiskt separerad*",P5:P33)</f>
        <v>760</v>
      </c>
      <c r="T36" s="5">
        <f>S36/$S$40</f>
        <v>6.4080944350758853E-2</v>
      </c>
    </row>
    <row r="37" spans="3:33" x14ac:dyDescent="0.25">
      <c r="J37" t="s">
        <v>77</v>
      </c>
      <c r="K37">
        <f>SUM(K33:K36)</f>
        <v>11530</v>
      </c>
      <c r="R37" t="s">
        <v>94</v>
      </c>
      <c r="S37">
        <f>SUMIF(N5:N33,"*Visuellt markerat*",P5:P33)</f>
        <v>2887</v>
      </c>
      <c r="T37" s="5">
        <f>S37/$S$40</f>
        <v>0.24342327150084317</v>
      </c>
    </row>
    <row r="38" spans="3:33" x14ac:dyDescent="0.25">
      <c r="R38" t="s">
        <v>95</v>
      </c>
      <c r="S38">
        <f>SUMIF(N5:N33,"*Endast målad linje*",P5:P33)</f>
        <v>600</v>
      </c>
      <c r="T38" s="5">
        <f>S38/$S$40</f>
        <v>5.0590219224283306E-2</v>
      </c>
    </row>
    <row r="39" spans="3:33" x14ac:dyDescent="0.25">
      <c r="R39" t="s">
        <v>93</v>
      </c>
      <c r="S39">
        <f>SUMIF(N5:N33,"*Blandtrafik*",P5:P33)</f>
        <v>7613</v>
      </c>
      <c r="T39" s="5">
        <f>S39/$S$40</f>
        <v>0.64190556492411466</v>
      </c>
    </row>
    <row r="40" spans="3:33" x14ac:dyDescent="0.25">
      <c r="R40" t="s">
        <v>77</v>
      </c>
      <c r="S40">
        <f>SUM(S36:S39)</f>
        <v>11860</v>
      </c>
    </row>
    <row r="41" spans="3:33" ht="15" customHeight="1" x14ac:dyDescent="0.25">
      <c r="C41" s="1" t="s">
        <v>15</v>
      </c>
      <c r="D41" s="1" t="s">
        <v>67</v>
      </c>
      <c r="E41" s="1" t="s">
        <v>53</v>
      </c>
      <c r="F41" s="1" t="s">
        <v>32</v>
      </c>
      <c r="G41" s="1" t="s">
        <v>103</v>
      </c>
    </row>
    <row r="42" spans="3:33" ht="49.5" customHeight="1" x14ac:dyDescent="0.25">
      <c r="C42" s="2" t="s">
        <v>101</v>
      </c>
      <c r="D42" s="1">
        <v>4</v>
      </c>
      <c r="E42">
        <f>(722*2)+1460-200-78</f>
        <v>2626</v>
      </c>
      <c r="F42" s="6">
        <f>E42/SUM(E42:E43)</f>
        <v>0.34250684752836835</v>
      </c>
      <c r="G42" s="12">
        <f>D42*F42</f>
        <v>1.3700273901134734</v>
      </c>
    </row>
    <row r="43" spans="3:33" ht="30" x14ac:dyDescent="0.25">
      <c r="C43" s="2" t="s">
        <v>102</v>
      </c>
      <c r="D43" s="1">
        <v>0</v>
      </c>
      <c r="E43" s="1">
        <f>SUM(K33:K35,S36:S38)-E42</f>
        <v>5041</v>
      </c>
      <c r="F43" s="6">
        <f>E43/SUM(E42:E43)</f>
        <v>0.65749315247163165</v>
      </c>
      <c r="G43" s="1">
        <f>D43*F43</f>
        <v>0</v>
      </c>
    </row>
    <row r="44" spans="3:33" x14ac:dyDescent="0.25">
      <c r="F44" s="1" t="s">
        <v>44</v>
      </c>
      <c r="G44" s="12">
        <f>SUM(G42:G43)</f>
        <v>1.3700273901134734</v>
      </c>
    </row>
    <row r="45" spans="3:33" x14ac:dyDescent="0.25">
      <c r="I45" s="5"/>
      <c r="J45" s="5"/>
    </row>
    <row r="46" spans="3:33" x14ac:dyDescent="0.25">
      <c r="L46" t="s">
        <v>184</v>
      </c>
    </row>
    <row r="48" spans="3:33" x14ac:dyDescent="0.25">
      <c r="C48" s="1" t="s">
        <v>104</v>
      </c>
      <c r="D48" s="1" t="s">
        <v>67</v>
      </c>
      <c r="E48" s="1" t="s">
        <v>53</v>
      </c>
      <c r="F48" s="1" t="s">
        <v>32</v>
      </c>
      <c r="G48" s="1" t="s">
        <v>31</v>
      </c>
    </row>
    <row r="49" spans="3:22" x14ac:dyDescent="0.25">
      <c r="C49" s="1" t="s">
        <v>105</v>
      </c>
      <c r="D49" s="1">
        <v>3</v>
      </c>
      <c r="E49">
        <f>K33+K34+K35</f>
        <v>3420</v>
      </c>
      <c r="F49" s="12">
        <f>E49/SUM(E49:E50)</f>
        <v>0.8717817996431303</v>
      </c>
      <c r="G49" s="12">
        <f>D49*F49</f>
        <v>2.6153453989293909</v>
      </c>
    </row>
    <row r="50" spans="3:22" x14ac:dyDescent="0.25">
      <c r="C50" s="1" t="s">
        <v>106</v>
      </c>
      <c r="D50" s="1">
        <v>0</v>
      </c>
      <c r="E50" s="1">
        <f>103+400</f>
        <v>503</v>
      </c>
      <c r="F50" s="12">
        <f>E50/SUM(E49:E50)</f>
        <v>0.12821820035686973</v>
      </c>
      <c r="G50" s="12">
        <f>D50*F50</f>
        <v>0</v>
      </c>
    </row>
    <row r="51" spans="3:22" x14ac:dyDescent="0.25">
      <c r="F51" s="7" t="s">
        <v>44</v>
      </c>
      <c r="G51" s="11">
        <f>SUM(G49:G50)</f>
        <v>2.6153453989293909</v>
      </c>
    </row>
    <row r="53" spans="3:22" x14ac:dyDescent="0.25">
      <c r="I53" s="15" t="s">
        <v>186</v>
      </c>
    </row>
    <row r="54" spans="3:22" x14ac:dyDescent="0.25">
      <c r="C54" s="1" t="s">
        <v>107</v>
      </c>
      <c r="D54" s="1" t="s">
        <v>67</v>
      </c>
      <c r="E54" s="1" t="s">
        <v>53</v>
      </c>
      <c r="F54" s="1" t="s">
        <v>32</v>
      </c>
      <c r="G54" s="1" t="s">
        <v>31</v>
      </c>
      <c r="I54" t="s">
        <v>152</v>
      </c>
    </row>
    <row r="55" spans="3:22" x14ac:dyDescent="0.25">
      <c r="C55" s="1" t="s">
        <v>108</v>
      </c>
      <c r="D55" s="1">
        <v>2</v>
      </c>
      <c r="E55" s="1">
        <v>1</v>
      </c>
      <c r="F55" s="12">
        <f>E55/I55</f>
        <v>0.1304291117777488</v>
      </c>
      <c r="G55" s="12">
        <f>2-4*F55</f>
        <v>1.4782835528890048</v>
      </c>
      <c r="H55">
        <v>10</v>
      </c>
      <c r="I55">
        <f>(K33+K34+K35+S36+S37+S38)/1000</f>
        <v>7.6669999999999998</v>
      </c>
      <c r="J55">
        <f>(I59+I57)/I55</f>
        <v>0.78257467066649278</v>
      </c>
    </row>
    <row r="56" spans="3:22" x14ac:dyDescent="0.25">
      <c r="C56" s="1" t="s">
        <v>109</v>
      </c>
      <c r="D56" s="1">
        <v>1</v>
      </c>
      <c r="E56" s="1"/>
      <c r="F56" s="1">
        <v>0</v>
      </c>
      <c r="G56" s="1">
        <f>D56*F56</f>
        <v>0</v>
      </c>
      <c r="I56" t="s">
        <v>153</v>
      </c>
    </row>
    <row r="57" spans="3:22" x14ac:dyDescent="0.25">
      <c r="C57" s="1" t="s">
        <v>110</v>
      </c>
      <c r="D57" s="1">
        <v>0</v>
      </c>
      <c r="E57" s="1"/>
      <c r="F57" s="1">
        <v>0</v>
      </c>
      <c r="G57" s="1">
        <v>0</v>
      </c>
      <c r="I57">
        <v>1</v>
      </c>
    </row>
    <row r="58" spans="3:22" x14ac:dyDescent="0.25">
      <c r="F58" s="7" t="s">
        <v>44</v>
      </c>
      <c r="G58" s="11">
        <f>SUM(G55:G57)</f>
        <v>1.4782835528890048</v>
      </c>
      <c r="I58" t="s">
        <v>154</v>
      </c>
    </row>
    <row r="59" spans="3:22" x14ac:dyDescent="0.25">
      <c r="I59">
        <v>5</v>
      </c>
      <c r="L59" t="s">
        <v>133</v>
      </c>
      <c r="Q59" t="s">
        <v>134</v>
      </c>
      <c r="V59" t="s">
        <v>133</v>
      </c>
    </row>
    <row r="61" spans="3:22" x14ac:dyDescent="0.25">
      <c r="C61" s="1" t="s">
        <v>111</v>
      </c>
      <c r="D61" s="1" t="s">
        <v>67</v>
      </c>
      <c r="E61" s="1" t="s">
        <v>53</v>
      </c>
      <c r="F61" s="1" t="s">
        <v>89</v>
      </c>
      <c r="G61" s="1" t="s">
        <v>31</v>
      </c>
      <c r="I61" t="s">
        <v>114</v>
      </c>
      <c r="L61" t="s">
        <v>115</v>
      </c>
    </row>
    <row r="62" spans="3:22" x14ac:dyDescent="0.25">
      <c r="C62" s="1" t="s">
        <v>108</v>
      </c>
      <c r="D62" s="1">
        <v>3</v>
      </c>
      <c r="E62" s="1"/>
      <c r="F62" s="6"/>
      <c r="G62" s="1">
        <f>D62*F62</f>
        <v>0</v>
      </c>
      <c r="I62">
        <f>160/5</f>
        <v>32</v>
      </c>
    </row>
    <row r="63" spans="3:22" x14ac:dyDescent="0.25">
      <c r="C63" s="1" t="s">
        <v>112</v>
      </c>
      <c r="D63" s="1">
        <v>2</v>
      </c>
      <c r="E63" s="1"/>
      <c r="F63" s="6"/>
      <c r="G63" s="1">
        <f>D63*F63</f>
        <v>0</v>
      </c>
      <c r="L63" t="s">
        <v>116</v>
      </c>
    </row>
    <row r="64" spans="3:22" x14ac:dyDescent="0.25">
      <c r="C64" s="1" t="s">
        <v>113</v>
      </c>
      <c r="D64" s="1">
        <v>1</v>
      </c>
      <c r="E64" s="1"/>
      <c r="F64" s="6"/>
      <c r="G64" s="1">
        <f>D64*F64</f>
        <v>0</v>
      </c>
    </row>
    <row r="65" spans="3:9" x14ac:dyDescent="0.25">
      <c r="C65" s="1" t="s">
        <v>59</v>
      </c>
      <c r="D65" s="1">
        <v>0</v>
      </c>
      <c r="E65" s="1"/>
      <c r="F65" s="6"/>
      <c r="G65" s="1">
        <f>D65*F65</f>
        <v>0</v>
      </c>
    </row>
    <row r="66" spans="3:9" x14ac:dyDescent="0.25">
      <c r="F66" s="7" t="s">
        <v>44</v>
      </c>
      <c r="G66" s="11">
        <f>SUM(G62:G65)</f>
        <v>0</v>
      </c>
    </row>
    <row r="68" spans="3:9" x14ac:dyDescent="0.25">
      <c r="C68" s="1" t="s">
        <v>117</v>
      </c>
      <c r="D68" s="1" t="s">
        <v>67</v>
      </c>
      <c r="E68" s="1" t="s">
        <v>53</v>
      </c>
      <c r="F68" s="1" t="s">
        <v>89</v>
      </c>
      <c r="G68" s="1" t="s">
        <v>31</v>
      </c>
      <c r="I68" t="s">
        <v>121</v>
      </c>
    </row>
    <row r="69" spans="3:9" x14ac:dyDescent="0.25">
      <c r="C69" s="1" t="s">
        <v>108</v>
      </c>
      <c r="D69" s="1">
        <v>3</v>
      </c>
      <c r="E69" s="1"/>
      <c r="F69" s="6"/>
      <c r="G69" s="1">
        <v>3</v>
      </c>
    </row>
    <row r="70" spans="3:9" x14ac:dyDescent="0.25">
      <c r="C70" s="1" t="s">
        <v>118</v>
      </c>
      <c r="D70" s="1">
        <v>2</v>
      </c>
      <c r="E70" s="1"/>
      <c r="F70" s="6"/>
      <c r="G70" s="1"/>
    </row>
    <row r="71" spans="3:9" x14ac:dyDescent="0.25">
      <c r="C71" s="1" t="s">
        <v>119</v>
      </c>
      <c r="D71" s="1">
        <v>1</v>
      </c>
      <c r="E71" s="1"/>
      <c r="F71" s="6"/>
      <c r="G71" s="1"/>
    </row>
    <row r="72" spans="3:9" x14ac:dyDescent="0.25">
      <c r="C72" s="1" t="s">
        <v>120</v>
      </c>
      <c r="D72" s="1">
        <v>0</v>
      </c>
      <c r="E72" s="1"/>
      <c r="F72" s="6"/>
      <c r="G72" s="1"/>
    </row>
    <row r="73" spans="3:9" x14ac:dyDescent="0.25">
      <c r="F73" s="7" t="s">
        <v>44</v>
      </c>
      <c r="G73" s="11">
        <f>SUM(G69:G72)</f>
        <v>3</v>
      </c>
    </row>
    <row r="76" spans="3:9" x14ac:dyDescent="0.25">
      <c r="C76" s="3" t="s">
        <v>122</v>
      </c>
      <c r="D76" s="1" t="s">
        <v>31</v>
      </c>
      <c r="E76" s="1" t="s">
        <v>32</v>
      </c>
      <c r="F76" s="1" t="s">
        <v>31</v>
      </c>
    </row>
    <row r="77" spans="3:9" x14ac:dyDescent="0.25">
      <c r="C77" s="1" t="s">
        <v>123</v>
      </c>
      <c r="D77" s="1">
        <v>7</v>
      </c>
      <c r="E77" s="1">
        <v>0.5</v>
      </c>
      <c r="F77" s="1">
        <f>D77*E77</f>
        <v>3.5</v>
      </c>
    </row>
    <row r="78" spans="3:9" ht="30" x14ac:dyDescent="0.25">
      <c r="C78" s="2" t="s">
        <v>124</v>
      </c>
      <c r="D78" s="1">
        <v>0</v>
      </c>
      <c r="E78" s="1">
        <v>0.5</v>
      </c>
      <c r="F78" s="1">
        <f>D78*E78</f>
        <v>0</v>
      </c>
    </row>
    <row r="79" spans="3:9" x14ac:dyDescent="0.25">
      <c r="E79" s="1" t="s">
        <v>44</v>
      </c>
      <c r="F79" s="1">
        <f>SUM(F77:F78)</f>
        <v>3.5</v>
      </c>
    </row>
    <row r="82" spans="3:27" x14ac:dyDescent="0.25">
      <c r="C82" s="1" t="s">
        <v>125</v>
      </c>
      <c r="D82" s="1" t="s">
        <v>67</v>
      </c>
      <c r="E82" s="1" t="s">
        <v>53</v>
      </c>
      <c r="F82" s="1" t="s">
        <v>89</v>
      </c>
      <c r="G82" s="1" t="s">
        <v>31</v>
      </c>
    </row>
    <row r="83" spans="3:27" x14ac:dyDescent="0.25">
      <c r="C83" s="1" t="s">
        <v>126</v>
      </c>
      <c r="D83" s="1">
        <v>3</v>
      </c>
      <c r="E83" s="1">
        <v>16</v>
      </c>
      <c r="F83" s="12">
        <f>E83/K92</f>
        <v>2.0868657884439807</v>
      </c>
      <c r="G83" s="12">
        <f>3-1.5*F83</f>
        <v>-0.13029868266597111</v>
      </c>
    </row>
    <row r="84" spans="3:27" x14ac:dyDescent="0.25">
      <c r="C84" s="1" t="s">
        <v>127</v>
      </c>
      <c r="D84" s="1">
        <v>2</v>
      </c>
      <c r="E84" s="1"/>
      <c r="F84" s="6"/>
      <c r="G84" s="1"/>
    </row>
    <row r="85" spans="3:27" x14ac:dyDescent="0.25">
      <c r="C85" s="1" t="s">
        <v>128</v>
      </c>
      <c r="D85" s="1">
        <v>1</v>
      </c>
      <c r="E85" s="1"/>
      <c r="F85" s="6"/>
      <c r="G85" s="1"/>
    </row>
    <row r="86" spans="3:27" x14ac:dyDescent="0.25">
      <c r="C86" s="1" t="s">
        <v>129</v>
      </c>
      <c r="D86" s="1">
        <v>0</v>
      </c>
      <c r="E86" s="1"/>
      <c r="F86" s="6"/>
      <c r="G86" s="1"/>
    </row>
    <row r="87" spans="3:27" x14ac:dyDescent="0.25">
      <c r="F87" s="7" t="s">
        <v>44</v>
      </c>
      <c r="G87" s="11">
        <v>0</v>
      </c>
    </row>
    <row r="88" spans="3:27" x14ac:dyDescent="0.25">
      <c r="J88" t="s">
        <v>131</v>
      </c>
      <c r="O88" t="s">
        <v>131</v>
      </c>
      <c r="S88" t="s">
        <v>131</v>
      </c>
      <c r="W88" t="s">
        <v>132</v>
      </c>
      <c r="AA88" t="s">
        <v>176</v>
      </c>
    </row>
    <row r="89" spans="3:27" x14ac:dyDescent="0.25">
      <c r="J89" t="s">
        <v>130</v>
      </c>
    </row>
    <row r="90" spans="3:27" x14ac:dyDescent="0.25">
      <c r="J90" s="1" t="s">
        <v>185</v>
      </c>
      <c r="K90" s="1"/>
    </row>
    <row r="91" spans="3:27" x14ac:dyDescent="0.25">
      <c r="J91" s="1" t="s">
        <v>135</v>
      </c>
      <c r="K91" s="1">
        <v>7</v>
      </c>
    </row>
    <row r="92" spans="3:27" x14ac:dyDescent="0.25">
      <c r="J92" s="1" t="s">
        <v>136</v>
      </c>
      <c r="K92" s="1">
        <f>(K33+K34+K35+S36+S37+S38)/1000</f>
        <v>7.6669999999999998</v>
      </c>
    </row>
    <row r="93" spans="3:27" x14ac:dyDescent="0.25">
      <c r="J93" s="1" t="s">
        <v>137</v>
      </c>
      <c r="K93" s="1">
        <f>K91/K92</f>
        <v>0.91300378244424163</v>
      </c>
    </row>
    <row r="94" spans="3:27" x14ac:dyDescent="0.25">
      <c r="J94" s="1" t="s">
        <v>103</v>
      </c>
      <c r="K94" s="1">
        <f>-1.5*K93+3</f>
        <v>1.6304943263336376</v>
      </c>
    </row>
    <row r="96" spans="3:27" x14ac:dyDescent="0.25">
      <c r="C96" s="1" t="s">
        <v>138</v>
      </c>
      <c r="D96" s="1" t="s">
        <v>67</v>
      </c>
      <c r="E96" s="1" t="s">
        <v>53</v>
      </c>
      <c r="F96" s="1" t="s">
        <v>89</v>
      </c>
      <c r="G96" s="1" t="s">
        <v>31</v>
      </c>
    </row>
    <row r="97" spans="3:25" ht="90" x14ac:dyDescent="0.25">
      <c r="C97" s="2" t="s">
        <v>139</v>
      </c>
      <c r="D97" s="1">
        <v>10</v>
      </c>
      <c r="E97" s="1">
        <v>0</v>
      </c>
      <c r="F97" s="12">
        <f>E97/SUM($E$97:$E$100)</f>
        <v>0</v>
      </c>
      <c r="G97" s="1">
        <f>D97*F97</f>
        <v>0</v>
      </c>
      <c r="H97" t="s">
        <v>180</v>
      </c>
      <c r="V97" t="s">
        <v>182</v>
      </c>
      <c r="X97">
        <v>10</v>
      </c>
      <c r="Y97">
        <f>X97/SUM(X97:X99)</f>
        <v>0.25</v>
      </c>
    </row>
    <row r="98" spans="3:25" ht="60" x14ac:dyDescent="0.25">
      <c r="C98" s="2" t="s">
        <v>140</v>
      </c>
      <c r="D98" s="1">
        <v>8</v>
      </c>
      <c r="E98" s="1">
        <v>16</v>
      </c>
      <c r="F98" s="12">
        <f t="shared" ref="F98:F100" si="7">E98/SUM($E$97:$E$100)</f>
        <v>0.42105263157894735</v>
      </c>
      <c r="G98" s="12">
        <f>D98*F98</f>
        <v>3.3684210526315788</v>
      </c>
      <c r="H98" t="s">
        <v>178</v>
      </c>
      <c r="V98" t="s">
        <v>182</v>
      </c>
      <c r="X98">
        <v>25</v>
      </c>
      <c r="Y98">
        <f>X98/SUM(X97:X99)</f>
        <v>0.625</v>
      </c>
    </row>
    <row r="99" spans="3:25" x14ac:dyDescent="0.25">
      <c r="C99" s="1" t="s">
        <v>141</v>
      </c>
      <c r="D99" s="1">
        <v>5</v>
      </c>
      <c r="E99" s="1">
        <v>18</v>
      </c>
      <c r="F99" s="12">
        <f t="shared" si="7"/>
        <v>0.47368421052631576</v>
      </c>
      <c r="G99" s="12">
        <f>D99*F99</f>
        <v>2.3684210526315788</v>
      </c>
      <c r="H99" t="s">
        <v>179</v>
      </c>
      <c r="J99" t="s">
        <v>141</v>
      </c>
      <c r="Q99" t="s">
        <v>144</v>
      </c>
      <c r="V99" t="s">
        <v>183</v>
      </c>
      <c r="X99">
        <v>5</v>
      </c>
      <c r="Y99">
        <f>X99/SUM(X97:X99)</f>
        <v>0.125</v>
      </c>
    </row>
    <row r="100" spans="3:25" ht="45" x14ac:dyDescent="0.25">
      <c r="C100" s="2" t="s">
        <v>142</v>
      </c>
      <c r="D100" s="1">
        <v>0</v>
      </c>
      <c r="E100" s="1">
        <v>4</v>
      </c>
      <c r="F100" s="6">
        <f t="shared" si="7"/>
        <v>0.10526315789473684</v>
      </c>
      <c r="G100" s="1">
        <f>D100*F100</f>
        <v>0</v>
      </c>
    </row>
    <row r="101" spans="3:25" x14ac:dyDescent="0.25">
      <c r="E101" s="1"/>
      <c r="F101" s="7" t="s">
        <v>44</v>
      </c>
      <c r="G101" s="11">
        <f>SUM(G97:G100)</f>
        <v>5.7368421052631575</v>
      </c>
      <c r="J101" t="s">
        <v>143</v>
      </c>
      <c r="P101" s="13" t="s">
        <v>177</v>
      </c>
    </row>
    <row r="104" spans="3:25" x14ac:dyDescent="0.25">
      <c r="C104" s="1" t="s">
        <v>145</v>
      </c>
      <c r="D104" s="1" t="s">
        <v>67</v>
      </c>
      <c r="E104" s="1" t="s">
        <v>53</v>
      </c>
      <c r="F104" s="1" t="s">
        <v>89</v>
      </c>
      <c r="G104" s="1" t="s">
        <v>31</v>
      </c>
    </row>
    <row r="105" spans="3:25" ht="60" x14ac:dyDescent="0.25">
      <c r="C105" s="2" t="s">
        <v>146</v>
      </c>
      <c r="D105" s="1">
        <v>3</v>
      </c>
      <c r="E105" s="1">
        <v>33</v>
      </c>
      <c r="F105" s="12">
        <f>E105/SUM(E105:E108)</f>
        <v>0.86842105263157898</v>
      </c>
      <c r="G105" s="12">
        <f>F105*D105</f>
        <v>2.6052631578947372</v>
      </c>
    </row>
    <row r="106" spans="3:25" ht="45" x14ac:dyDescent="0.25">
      <c r="C106" s="2" t="s">
        <v>147</v>
      </c>
      <c r="D106" s="1">
        <v>2</v>
      </c>
      <c r="E106" s="1">
        <v>5</v>
      </c>
      <c r="F106" s="12">
        <f>E106/SUM(E105:E108)</f>
        <v>0.13157894736842105</v>
      </c>
      <c r="G106" s="12">
        <f t="shared" ref="G106:G108" si="8">F106*D106</f>
        <v>0.26315789473684209</v>
      </c>
    </row>
    <row r="107" spans="3:25" ht="45" x14ac:dyDescent="0.25">
      <c r="C107" s="2" t="s">
        <v>148</v>
      </c>
      <c r="D107" s="1">
        <v>1</v>
      </c>
      <c r="E107" s="1">
        <v>0</v>
      </c>
      <c r="F107" s="1">
        <v>0</v>
      </c>
      <c r="G107" s="1">
        <f t="shared" si="8"/>
        <v>0</v>
      </c>
    </row>
    <row r="108" spans="3:25" x14ac:dyDescent="0.25">
      <c r="C108" s="1" t="s">
        <v>149</v>
      </c>
      <c r="D108" s="1">
        <v>0</v>
      </c>
      <c r="E108" s="1">
        <v>0</v>
      </c>
      <c r="F108" s="1">
        <v>0</v>
      </c>
      <c r="G108" s="1">
        <f t="shared" si="8"/>
        <v>0</v>
      </c>
      <c r="J108" t="s">
        <v>151</v>
      </c>
      <c r="M108" t="s">
        <v>181</v>
      </c>
    </row>
    <row r="109" spans="3:25" x14ac:dyDescent="0.25">
      <c r="F109" s="7" t="s">
        <v>44</v>
      </c>
      <c r="G109" s="11">
        <f>SUM(G105:G108)</f>
        <v>2.8684210526315792</v>
      </c>
      <c r="J109" s="13" t="s">
        <v>150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E96450-5474-48B5-AC59-8D973462AF0B}">
  <dimension ref="C4:F20"/>
  <sheetViews>
    <sheetView workbookViewId="0">
      <selection activeCell="K10" sqref="K10"/>
    </sheetView>
  </sheetViews>
  <sheetFormatPr defaultRowHeight="15" x14ac:dyDescent="0.25"/>
  <cols>
    <col min="3" max="3" width="51.7109375" customWidth="1"/>
    <col min="5" max="5" width="11.42578125" customWidth="1"/>
  </cols>
  <sheetData>
    <row r="4" spans="3:6" x14ac:dyDescent="0.25">
      <c r="C4" s="1" t="s">
        <v>81</v>
      </c>
      <c r="D4" s="1" t="s">
        <v>67</v>
      </c>
      <c r="E4" s="1" t="s">
        <v>32</v>
      </c>
      <c r="F4" s="1" t="s">
        <v>31</v>
      </c>
    </row>
    <row r="5" spans="3:6" ht="30" x14ac:dyDescent="0.25">
      <c r="C5" s="2" t="s">
        <v>79</v>
      </c>
      <c r="D5" s="1">
        <v>2</v>
      </c>
      <c r="E5" s="1">
        <v>1</v>
      </c>
      <c r="F5" s="1">
        <v>2</v>
      </c>
    </row>
    <row r="6" spans="3:6" ht="60" x14ac:dyDescent="0.25">
      <c r="C6" s="2" t="s">
        <v>80</v>
      </c>
      <c r="D6" s="1">
        <v>2</v>
      </c>
      <c r="E6" s="1">
        <v>1</v>
      </c>
      <c r="F6" s="1">
        <v>0</v>
      </c>
    </row>
    <row r="7" spans="3:6" x14ac:dyDescent="0.25">
      <c r="E7" s="1" t="s">
        <v>44</v>
      </c>
      <c r="F7" s="1">
        <f>SUM(F5:F6)</f>
        <v>2</v>
      </c>
    </row>
    <row r="9" spans="3:6" x14ac:dyDescent="0.25">
      <c r="C9" s="1" t="s">
        <v>10</v>
      </c>
      <c r="D9" s="1" t="s">
        <v>67</v>
      </c>
      <c r="E9" s="1" t="s">
        <v>32</v>
      </c>
      <c r="F9" s="1" t="s">
        <v>31</v>
      </c>
    </row>
    <row r="10" spans="3:6" ht="30" x14ac:dyDescent="0.25">
      <c r="C10" s="2" t="s">
        <v>82</v>
      </c>
      <c r="D10" s="1">
        <v>2</v>
      </c>
      <c r="E10" s="1" t="s">
        <v>84</v>
      </c>
      <c r="F10" s="1">
        <v>2</v>
      </c>
    </row>
    <row r="11" spans="3:6" ht="30" x14ac:dyDescent="0.25">
      <c r="C11" s="2" t="s">
        <v>83</v>
      </c>
      <c r="D11" s="1">
        <v>2</v>
      </c>
      <c r="E11" s="1" t="s">
        <v>84</v>
      </c>
      <c r="F11" s="1">
        <v>2</v>
      </c>
    </row>
    <row r="12" spans="3:6" x14ac:dyDescent="0.25">
      <c r="E12" s="1" t="s">
        <v>44</v>
      </c>
      <c r="F12" s="1">
        <f>SUM(F10:F11)</f>
        <v>4</v>
      </c>
    </row>
    <row r="14" spans="3:6" x14ac:dyDescent="0.25">
      <c r="C14" s="1" t="s">
        <v>85</v>
      </c>
      <c r="D14" s="1" t="s">
        <v>67</v>
      </c>
      <c r="E14" s="1" t="s">
        <v>32</v>
      </c>
      <c r="F14" s="1" t="s">
        <v>31</v>
      </c>
    </row>
    <row r="15" spans="3:6" x14ac:dyDescent="0.25">
      <c r="C15" s="1" t="s">
        <v>86</v>
      </c>
      <c r="D15" s="1">
        <v>9</v>
      </c>
      <c r="E15" s="1" t="s">
        <v>84</v>
      </c>
      <c r="F15" s="1">
        <v>9</v>
      </c>
    </row>
    <row r="16" spans="3:6" x14ac:dyDescent="0.25">
      <c r="C16" s="1" t="s">
        <v>87</v>
      </c>
      <c r="D16" s="1">
        <v>1</v>
      </c>
      <c r="E16" s="1" t="s">
        <v>84</v>
      </c>
      <c r="F16" s="1">
        <v>0</v>
      </c>
    </row>
    <row r="17" spans="3:6" x14ac:dyDescent="0.25">
      <c r="E17" s="1" t="s">
        <v>44</v>
      </c>
      <c r="F17" s="1">
        <f>SUM(F15:F16)</f>
        <v>9</v>
      </c>
    </row>
    <row r="19" spans="3:6" x14ac:dyDescent="0.25">
      <c r="C19" s="3" t="s">
        <v>12</v>
      </c>
      <c r="D19" s="1" t="s">
        <v>67</v>
      </c>
      <c r="E19" s="1" t="s">
        <v>32</v>
      </c>
      <c r="F19" s="1" t="s">
        <v>31</v>
      </c>
    </row>
    <row r="20" spans="3:6" ht="30" x14ac:dyDescent="0.25">
      <c r="C20" s="2" t="s">
        <v>88</v>
      </c>
      <c r="D20" s="1">
        <v>2</v>
      </c>
      <c r="E20" s="1">
        <v>1</v>
      </c>
      <c r="F20" s="1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8A04AF-4065-408B-9E87-D12417F6B070}">
  <dimension ref="C4:H29"/>
  <sheetViews>
    <sheetView tabSelected="1" workbookViewId="0">
      <selection activeCell="N7" sqref="N7"/>
    </sheetView>
  </sheetViews>
  <sheetFormatPr defaultRowHeight="15" x14ac:dyDescent="0.25"/>
  <cols>
    <col min="3" max="3" width="58" customWidth="1"/>
  </cols>
  <sheetData>
    <row r="4" spans="3:8" x14ac:dyDescent="0.25">
      <c r="C4" s="1" t="s">
        <v>155</v>
      </c>
      <c r="D4" s="1" t="s">
        <v>67</v>
      </c>
      <c r="E4" s="1" t="s">
        <v>32</v>
      </c>
      <c r="F4" s="1" t="s">
        <v>31</v>
      </c>
      <c r="H4" t="s">
        <v>193</v>
      </c>
    </row>
    <row r="5" spans="3:8" x14ac:dyDescent="0.25">
      <c r="C5" s="1" t="s">
        <v>156</v>
      </c>
      <c r="D5" s="1">
        <v>4</v>
      </c>
      <c r="E5" s="1">
        <v>0</v>
      </c>
      <c r="F5" s="1">
        <v>0</v>
      </c>
    </row>
    <row r="6" spans="3:8" x14ac:dyDescent="0.25">
      <c r="C6" s="1" t="s">
        <v>157</v>
      </c>
      <c r="D6" s="1">
        <v>3</v>
      </c>
      <c r="E6" s="1">
        <v>0</v>
      </c>
      <c r="F6" s="1">
        <v>3</v>
      </c>
    </row>
    <row r="7" spans="3:8" x14ac:dyDescent="0.25">
      <c r="C7" s="1" t="s">
        <v>158</v>
      </c>
      <c r="D7" s="1">
        <v>0</v>
      </c>
      <c r="E7" s="1">
        <v>0</v>
      </c>
      <c r="F7" s="1">
        <v>0</v>
      </c>
    </row>
    <row r="8" spans="3:8" x14ac:dyDescent="0.25">
      <c r="E8" s="7" t="s">
        <v>44</v>
      </c>
      <c r="F8" s="7">
        <f>SUM(F5:F7)</f>
        <v>3</v>
      </c>
    </row>
    <row r="11" spans="3:8" x14ac:dyDescent="0.25">
      <c r="C11" s="1" t="s">
        <v>159</v>
      </c>
      <c r="D11" s="1" t="s">
        <v>67</v>
      </c>
      <c r="E11" s="1" t="s">
        <v>32</v>
      </c>
      <c r="F11" s="1" t="s">
        <v>31</v>
      </c>
    </row>
    <row r="12" spans="3:8" x14ac:dyDescent="0.25">
      <c r="C12" s="1" t="s">
        <v>160</v>
      </c>
      <c r="D12" s="1">
        <v>4</v>
      </c>
      <c r="E12" s="1">
        <v>0</v>
      </c>
      <c r="F12" s="1"/>
      <c r="H12" s="13" t="s">
        <v>163</v>
      </c>
    </row>
    <row r="13" spans="3:8" x14ac:dyDescent="0.25">
      <c r="C13" s="1" t="s">
        <v>161</v>
      </c>
      <c r="D13" s="1">
        <v>3</v>
      </c>
      <c r="E13" s="1">
        <v>0</v>
      </c>
      <c r="F13" s="1">
        <v>3</v>
      </c>
    </row>
    <row r="14" spans="3:8" x14ac:dyDescent="0.25">
      <c r="C14" s="1" t="s">
        <v>162</v>
      </c>
      <c r="D14" s="1">
        <v>0</v>
      </c>
      <c r="E14" s="1">
        <v>0</v>
      </c>
      <c r="F14" s="1">
        <v>0</v>
      </c>
    </row>
    <row r="15" spans="3:8" x14ac:dyDescent="0.25">
      <c r="E15" s="7" t="s">
        <v>44</v>
      </c>
      <c r="F15" s="7">
        <f>SUM(F12:F14)</f>
        <v>3</v>
      </c>
    </row>
    <row r="18" spans="3:8" x14ac:dyDescent="0.25">
      <c r="C18" s="1" t="s">
        <v>164</v>
      </c>
      <c r="D18" s="1" t="s">
        <v>67</v>
      </c>
      <c r="E18" s="1" t="s">
        <v>32</v>
      </c>
      <c r="F18" s="1" t="s">
        <v>31</v>
      </c>
      <c r="H18" t="s">
        <v>168</v>
      </c>
    </row>
    <row r="19" spans="3:8" x14ac:dyDescent="0.25">
      <c r="C19" s="1" t="s">
        <v>165</v>
      </c>
      <c r="D19" s="1">
        <v>3</v>
      </c>
      <c r="E19" s="1">
        <v>0</v>
      </c>
      <c r="F19" s="1">
        <v>3</v>
      </c>
    </row>
    <row r="20" spans="3:8" x14ac:dyDescent="0.25">
      <c r="C20" s="1" t="s">
        <v>166</v>
      </c>
      <c r="D20" s="1">
        <v>2</v>
      </c>
      <c r="E20" s="1">
        <v>0</v>
      </c>
      <c r="F20" s="1">
        <v>0</v>
      </c>
    </row>
    <row r="21" spans="3:8" x14ac:dyDescent="0.25">
      <c r="C21" s="1" t="s">
        <v>167</v>
      </c>
      <c r="D21" s="1">
        <v>0</v>
      </c>
      <c r="E21" s="1">
        <v>0</v>
      </c>
      <c r="F21" s="1">
        <v>0</v>
      </c>
    </row>
    <row r="22" spans="3:8" x14ac:dyDescent="0.25">
      <c r="E22" s="7" t="s">
        <v>44</v>
      </c>
      <c r="F22" s="7">
        <f>SUM(F19:F21)</f>
        <v>3</v>
      </c>
    </row>
    <row r="25" spans="3:8" x14ac:dyDescent="0.25">
      <c r="C25" s="1" t="s">
        <v>169</v>
      </c>
      <c r="D25" s="1" t="s">
        <v>67</v>
      </c>
      <c r="E25" s="1" t="s">
        <v>32</v>
      </c>
      <c r="F25" s="1" t="s">
        <v>31</v>
      </c>
      <c r="H25" t="s">
        <v>172</v>
      </c>
    </row>
    <row r="26" spans="3:8" x14ac:dyDescent="0.25">
      <c r="C26" s="1" t="s">
        <v>166</v>
      </c>
      <c r="D26" s="1">
        <v>3</v>
      </c>
      <c r="E26" s="1">
        <v>0</v>
      </c>
      <c r="F26" s="1">
        <v>3</v>
      </c>
    </row>
    <row r="27" spans="3:8" x14ac:dyDescent="0.25">
      <c r="C27" s="1" t="s">
        <v>170</v>
      </c>
      <c r="D27" s="1">
        <v>2</v>
      </c>
      <c r="E27" s="1">
        <v>0</v>
      </c>
      <c r="F27" s="1">
        <v>0</v>
      </c>
    </row>
    <row r="28" spans="3:8" x14ac:dyDescent="0.25">
      <c r="C28" s="1" t="s">
        <v>171</v>
      </c>
      <c r="D28" s="1">
        <v>0</v>
      </c>
      <c r="E28" s="1">
        <v>0</v>
      </c>
      <c r="F28" s="1">
        <v>0</v>
      </c>
    </row>
    <row r="29" spans="3:8" x14ac:dyDescent="0.25">
      <c r="E29" s="7" t="s">
        <v>44</v>
      </c>
      <c r="F29" s="7">
        <f>SUM(F26:F28)</f>
        <v>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Kalkylblad</vt:lpstr>
      </vt:variant>
      <vt:variant>
        <vt:i4>5</vt:i4>
      </vt:variant>
    </vt:vector>
  </HeadingPairs>
  <TitlesOfParts>
    <vt:vector size="5" baseType="lpstr">
      <vt:lpstr>Sammanfattning</vt:lpstr>
      <vt:lpstr>Stadens utformning</vt:lpstr>
      <vt:lpstr>Kollektivtrafikens infrastruktu</vt:lpstr>
      <vt:lpstr>Fordon och Stödsystem</vt:lpstr>
      <vt:lpstr>Trafikering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Edvin Ramberg</dc:creator>
  <cp:lastModifiedBy>Edvin Ramberg</cp:lastModifiedBy>
  <dcterms:created xsi:type="dcterms:W3CDTF">2015-06-05T18:19:34Z</dcterms:created>
  <dcterms:modified xsi:type="dcterms:W3CDTF">2024-05-21T07:23:06Z</dcterms:modified>
</cp:coreProperties>
</file>